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64482a\Desktop\"/>
    </mc:Choice>
  </mc:AlternateContent>
  <workbookProtection workbookAlgorithmName="SHA-512" workbookHashValue="YNU3LTBoQIqq98uO3Sx928WX+oJ6rd9v+hunaUWeSnvOANsHrzPPRNx/BXyCN5W9maPUibTtYM/GGMokSM/nJQ==" workbookSaltValue="+YRd2gbCmpl0AU0//k9GUA==" workbookSpinCount="100000" lockStructure="1"/>
  <bookViews>
    <workbookView xWindow="0" yWindow="0" windowWidth="28800" windowHeight="12210"/>
  </bookViews>
  <sheets>
    <sheet name="Rendements" sheetId="5" r:id="rId1"/>
    <sheet name="Missions de contact" sheetId="12" state="hidden" r:id="rId2"/>
    <sheet name="Heist" sheetId="7" state="hidden" r:id="rId3"/>
    <sheet name="Missions VIP" sheetId="11" state="hidden" r:id="rId4"/>
    <sheet name="PDG" sheetId="8" state="hidden" r:id="rId5"/>
    <sheet name="Bikers" sheetId="1" state="hidden" r:id="rId6"/>
    <sheet name="Import" sheetId="9" state="hidden" r:id="rId7"/>
    <sheet name="Bunker" sheetId="4" state="hidden" r:id="rId8"/>
    <sheet name="Hangar" sheetId="10" state="hidden" r:id="rId9"/>
    <sheet name="Doomsday" sheetId="6" state="hidden" r:id="rId10"/>
    <sheet name="Nightclub" sheetId="2" state="hidden" r:id="rId11"/>
    <sheet name="Costs" sheetId="3" state="hidden" r:id="rId12"/>
    <sheet name="Traduction" sheetId="13" state="hidden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5" l="1"/>
  <c r="B4" i="4" l="1"/>
  <c r="D14" i="1"/>
  <c r="E14" i="1"/>
  <c r="F5" i="1"/>
  <c r="F14" i="1" s="1"/>
  <c r="E5" i="1"/>
  <c r="D5" i="1"/>
  <c r="C5" i="1"/>
  <c r="C14" i="1" s="1"/>
  <c r="B5" i="1"/>
  <c r="C3" i="10" l="1"/>
  <c r="D3" i="10"/>
  <c r="E3" i="10"/>
  <c r="F3" i="10"/>
  <c r="G3" i="10"/>
  <c r="B3" i="10"/>
  <c r="E7" i="10"/>
  <c r="B7" i="10"/>
  <c r="C7" i="10"/>
  <c r="G8" i="10"/>
  <c r="F8" i="10"/>
  <c r="E8" i="10"/>
  <c r="D8" i="10"/>
  <c r="C8" i="10"/>
  <c r="B8" i="10"/>
  <c r="F7" i="10"/>
  <c r="G7" i="10"/>
  <c r="Q6" i="5"/>
  <c r="D19" i="1"/>
  <c r="E19" i="1"/>
  <c r="Q7" i="5" s="1"/>
  <c r="B17" i="2" l="1"/>
  <c r="B8" i="4"/>
  <c r="F11" i="1"/>
  <c r="F19" i="1" s="1"/>
  <c r="Q8" i="5" s="1"/>
  <c r="B11" i="1"/>
  <c r="O10" i="5" l="1"/>
  <c r="B23" i="2"/>
  <c r="Q10" i="5" s="1"/>
  <c r="B9" i="4"/>
  <c r="O9" i="5"/>
  <c r="E11" i="1" l="1"/>
  <c r="D11" i="1"/>
  <c r="C11" i="1"/>
  <c r="C12" i="1"/>
  <c r="D12" i="1" s="1"/>
  <c r="E12" i="1" s="1"/>
  <c r="F12" i="1" s="1"/>
  <c r="D6" i="9"/>
  <c r="E6" i="9"/>
  <c r="C6" i="9"/>
  <c r="E10" i="1" l="1"/>
  <c r="O7" i="5"/>
  <c r="D10" i="1"/>
  <c r="O6" i="5"/>
  <c r="C10" i="1"/>
  <c r="O5" i="5"/>
  <c r="F10" i="1"/>
  <c r="O8" i="5"/>
  <c r="B10" i="1"/>
  <c r="O4" i="5"/>
  <c r="N16" i="5"/>
  <c r="M16" i="5"/>
  <c r="N9" i="5"/>
  <c r="B14" i="4"/>
  <c r="N8" i="5"/>
  <c r="N7" i="5"/>
  <c r="N6" i="5"/>
  <c r="N5" i="5"/>
  <c r="N4" i="5"/>
  <c r="F13" i="1"/>
  <c r="C13" i="1"/>
  <c r="D13" i="1"/>
  <c r="E13" i="1"/>
  <c r="B13" i="1"/>
  <c r="B7" i="9"/>
  <c r="Z9" i="11"/>
  <c r="H13" i="5" l="1"/>
  <c r="B12" i="2" l="1"/>
  <c r="O14" i="5" l="1"/>
  <c r="B13" i="8"/>
  <c r="D12" i="8" s="1"/>
  <c r="C12" i="8" l="1"/>
  <c r="C10" i="8" l="1"/>
  <c r="D10" i="8"/>
  <c r="B10" i="8"/>
  <c r="B12" i="8"/>
  <c r="C8" i="8" l="1"/>
  <c r="C9" i="8" s="1"/>
  <c r="D8" i="8"/>
  <c r="D9" i="8" s="1"/>
  <c r="O17" i="5" l="1"/>
  <c r="F5" i="10"/>
  <c r="G5" i="10"/>
  <c r="E5" i="10"/>
  <c r="O16" i="5"/>
  <c r="D2" i="2" l="1"/>
  <c r="C2" i="2"/>
  <c r="AA4" i="11" l="1"/>
  <c r="AA15" i="11"/>
  <c r="AB15" i="11"/>
  <c r="AC15" i="11"/>
  <c r="AA16" i="11"/>
  <c r="AB16" i="11"/>
  <c r="AC16" i="11"/>
  <c r="AA17" i="11"/>
  <c r="AB17" i="11"/>
  <c r="AC17" i="11"/>
  <c r="AA18" i="11"/>
  <c r="AB18" i="11"/>
  <c r="AC18" i="11"/>
  <c r="AA19" i="11"/>
  <c r="AB19" i="11"/>
  <c r="AC19" i="11"/>
  <c r="AA20" i="11"/>
  <c r="AB20" i="11"/>
  <c r="AC20" i="11"/>
  <c r="AA21" i="11"/>
  <c r="AB21" i="11"/>
  <c r="AC21" i="11"/>
  <c r="AA22" i="11"/>
  <c r="AB22" i="11"/>
  <c r="AC22" i="11"/>
  <c r="Z22" i="11"/>
  <c r="Z21" i="11"/>
  <c r="Z20" i="11"/>
  <c r="Z19" i="11"/>
  <c r="Z18" i="11"/>
  <c r="Z17" i="11"/>
  <c r="Z16" i="11"/>
  <c r="Z15" i="11"/>
  <c r="I4" i="11"/>
  <c r="J4" i="11"/>
  <c r="K4" i="11"/>
  <c r="I5" i="11"/>
  <c r="J5" i="11"/>
  <c r="K5" i="11"/>
  <c r="I6" i="11"/>
  <c r="J6" i="11"/>
  <c r="K6" i="11"/>
  <c r="I7" i="11"/>
  <c r="J7" i="11"/>
  <c r="K7" i="11"/>
  <c r="I8" i="11"/>
  <c r="J8" i="11"/>
  <c r="K8" i="11"/>
  <c r="I9" i="11"/>
  <c r="J9" i="11"/>
  <c r="K9" i="11"/>
  <c r="I10" i="11"/>
  <c r="J10" i="11"/>
  <c r="K10" i="11"/>
  <c r="I11" i="11"/>
  <c r="J11" i="11"/>
  <c r="K11" i="11"/>
  <c r="I12" i="11"/>
  <c r="J12" i="11"/>
  <c r="K12" i="11"/>
  <c r="I13" i="11"/>
  <c r="J13" i="11"/>
  <c r="K13" i="11"/>
  <c r="I14" i="11"/>
  <c r="J14" i="11"/>
  <c r="K14" i="11"/>
  <c r="I15" i="11"/>
  <c r="J15" i="11"/>
  <c r="K15" i="11"/>
  <c r="I16" i="11"/>
  <c r="J16" i="11"/>
  <c r="K16" i="11"/>
  <c r="I17" i="11"/>
  <c r="J17" i="11"/>
  <c r="K17" i="11"/>
  <c r="I18" i="11"/>
  <c r="J18" i="11"/>
  <c r="K18" i="11"/>
  <c r="I19" i="11"/>
  <c r="J19" i="11"/>
  <c r="K19" i="11"/>
  <c r="I20" i="11"/>
  <c r="J20" i="11"/>
  <c r="K20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4" i="11"/>
  <c r="AB4" i="11"/>
  <c r="AC4" i="11"/>
  <c r="Z4" i="11"/>
  <c r="U5" i="11"/>
  <c r="V5" i="11"/>
  <c r="W5" i="11"/>
  <c r="U6" i="11"/>
  <c r="V6" i="11"/>
  <c r="W6" i="11"/>
  <c r="U7" i="11"/>
  <c r="V7" i="11"/>
  <c r="W7" i="11"/>
  <c r="U4" i="11"/>
  <c r="V4" i="11"/>
  <c r="W4" i="11"/>
  <c r="T5" i="11"/>
  <c r="T6" i="11"/>
  <c r="T7" i="11"/>
  <c r="T4" i="11"/>
  <c r="M17" i="13" l="1"/>
  <c r="M16" i="13"/>
  <c r="N15" i="13"/>
  <c r="M15" i="13"/>
  <c r="M14" i="13"/>
  <c r="M13" i="13"/>
  <c r="M12" i="13"/>
  <c r="M9" i="13"/>
  <c r="M8" i="13"/>
  <c r="M7" i="13"/>
  <c r="M6" i="13"/>
  <c r="M5" i="13"/>
  <c r="M4" i="13"/>
  <c r="H2" i="2" l="1"/>
  <c r="G2" i="2"/>
  <c r="G8" i="2" s="1"/>
  <c r="F2" i="2"/>
  <c r="F8" i="2" s="1"/>
  <c r="E2" i="2"/>
  <c r="E8" i="2" s="1"/>
  <c r="D8" i="2"/>
  <c r="C8" i="2"/>
  <c r="B2" i="2"/>
  <c r="B13" i="2"/>
  <c r="B14" i="2"/>
  <c r="B3" i="4"/>
  <c r="B4" i="1"/>
  <c r="C4" i="1"/>
  <c r="D4" i="1"/>
  <c r="E4" i="1"/>
  <c r="F4" i="1"/>
  <c r="B11" i="2"/>
  <c r="B19" i="4"/>
  <c r="B7" i="12"/>
  <c r="B12" i="10"/>
  <c r="B11" i="10"/>
  <c r="D6" i="10" s="1"/>
  <c r="B13" i="9"/>
  <c r="B17" i="8"/>
  <c r="B16" i="8"/>
  <c r="B22" i="11"/>
  <c r="B15" i="7"/>
  <c r="B22" i="1"/>
  <c r="B21" i="1"/>
  <c r="B2" i="4"/>
  <c r="F3" i="1"/>
  <c r="E3" i="1"/>
  <c r="D3" i="1"/>
  <c r="C3" i="1"/>
  <c r="B3" i="1"/>
  <c r="B14" i="1" s="1"/>
  <c r="B17" i="1" s="1"/>
  <c r="B8" i="9" l="1"/>
  <c r="B8" i="2"/>
  <c r="C11" i="8"/>
  <c r="D11" i="8"/>
  <c r="AC3" i="11"/>
  <c r="AC5" i="11" s="1"/>
  <c r="AB3" i="11"/>
  <c r="AB5" i="11" s="1"/>
  <c r="AA3" i="11"/>
  <c r="AA5" i="11" s="1"/>
  <c r="Z3" i="11"/>
  <c r="H8" i="2"/>
  <c r="D2" i="8" l="1"/>
  <c r="D1" i="8"/>
  <c r="C2" i="8"/>
  <c r="C1" i="8"/>
  <c r="B11" i="9"/>
  <c r="Q16" i="5" s="1"/>
  <c r="B10" i="9"/>
  <c r="B19" i="1"/>
  <c r="Q4" i="5" s="1"/>
  <c r="B18" i="1"/>
  <c r="B9" i="9"/>
  <c r="P16" i="5" s="1"/>
  <c r="L16" i="5"/>
  <c r="B18" i="2"/>
  <c r="M10" i="5" s="1"/>
  <c r="G6" i="10"/>
  <c r="F6" i="10"/>
  <c r="E6" i="10"/>
  <c r="C6" i="10"/>
  <c r="B6" i="10"/>
  <c r="K17" i="10"/>
  <c r="L17" i="10"/>
  <c r="M17" i="10"/>
  <c r="J17" i="10"/>
  <c r="M8" i="8"/>
  <c r="M9" i="8"/>
  <c r="M10" i="8"/>
  <c r="M11" i="8"/>
  <c r="M12" i="8"/>
  <c r="M7" i="8"/>
  <c r="B8" i="8"/>
  <c r="B9" i="8" s="1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C7" i="9"/>
  <c r="C8" i="9" s="1"/>
  <c r="C11" i="9" s="1"/>
  <c r="C5" i="9"/>
  <c r="D7" i="10" l="1"/>
  <c r="C9" i="9"/>
  <c r="C10" i="9"/>
  <c r="D7" i="9"/>
  <c r="D8" i="9" s="1"/>
  <c r="D11" i="9" s="1"/>
  <c r="B11" i="8"/>
  <c r="D5" i="9"/>
  <c r="Z5" i="11"/>
  <c r="Q15" i="5" s="1"/>
  <c r="B1" i="8" l="1"/>
  <c r="B2" i="8"/>
  <c r="D10" i="9"/>
  <c r="D9" i="9"/>
  <c r="E7" i="9"/>
  <c r="E8" i="9" s="1"/>
  <c r="E11" i="9" s="1"/>
  <c r="E5" i="9"/>
  <c r="P17" i="5"/>
  <c r="B57" i="7"/>
  <c r="B6" i="7" s="1"/>
  <c r="B48" i="7"/>
  <c r="C5" i="7" s="1"/>
  <c r="B39" i="7"/>
  <c r="B4" i="7" s="1"/>
  <c r="B30" i="7"/>
  <c r="C3" i="7" s="1"/>
  <c r="B22" i="7"/>
  <c r="C2" i="7" s="1"/>
  <c r="D54" i="6"/>
  <c r="D5" i="6" s="1"/>
  <c r="E54" i="6"/>
  <c r="E5" i="6" s="1"/>
  <c r="C54" i="6"/>
  <c r="G5" i="6" s="1"/>
  <c r="B54" i="6"/>
  <c r="F5" i="6" s="1"/>
  <c r="D39" i="6"/>
  <c r="D4" i="6" s="1"/>
  <c r="E39" i="6"/>
  <c r="I4" i="6" s="1"/>
  <c r="C39" i="6"/>
  <c r="G4" i="6" s="1"/>
  <c r="B39" i="6"/>
  <c r="F4" i="6" s="1"/>
  <c r="D26" i="6"/>
  <c r="H3" i="6" s="1"/>
  <c r="E26" i="6"/>
  <c r="I3" i="6" s="1"/>
  <c r="C26" i="6"/>
  <c r="G3" i="6" s="1"/>
  <c r="B26" i="6"/>
  <c r="F3" i="6" s="1"/>
  <c r="E9" i="9" l="1"/>
  <c r="E10" i="9"/>
  <c r="M17" i="5"/>
  <c r="Q17" i="5"/>
  <c r="P14" i="5"/>
  <c r="L17" i="5"/>
  <c r="J4" i="6"/>
  <c r="B4" i="6"/>
  <c r="B5" i="6"/>
  <c r="J5" i="6" s="1"/>
  <c r="B3" i="6"/>
  <c r="J3" i="6" s="1"/>
  <c r="C3" i="6"/>
  <c r="K3" i="6" s="1"/>
  <c r="D3" i="6"/>
  <c r="L3" i="6" s="1"/>
  <c r="E3" i="6"/>
  <c r="M3" i="6" s="1"/>
  <c r="H5" i="6"/>
  <c r="L5" i="6" s="1"/>
  <c r="C5" i="6"/>
  <c r="K5" i="6" s="1"/>
  <c r="C4" i="6"/>
  <c r="K4" i="6" s="1"/>
  <c r="H4" i="6"/>
  <c r="L4" i="6" s="1"/>
  <c r="I5" i="6"/>
  <c r="M5" i="6" s="1"/>
  <c r="E4" i="6"/>
  <c r="M4" i="6" s="1"/>
  <c r="C6" i="7"/>
  <c r="E6" i="7" s="1"/>
  <c r="B5" i="7"/>
  <c r="E5" i="7" s="1"/>
  <c r="C4" i="7"/>
  <c r="E4" i="7" s="1"/>
  <c r="B3" i="7"/>
  <c r="E3" i="7" s="1"/>
  <c r="B2" i="7"/>
  <c r="E2" i="7" s="1"/>
  <c r="D18" i="1"/>
  <c r="F18" i="1"/>
  <c r="B15" i="1"/>
  <c r="B12" i="4"/>
  <c r="B11" i="4"/>
  <c r="C5" i="2"/>
  <c r="D5" i="2"/>
  <c r="E5" i="2"/>
  <c r="F5" i="2"/>
  <c r="G5" i="2"/>
  <c r="H5" i="2"/>
  <c r="B5" i="2"/>
  <c r="C9" i="2"/>
  <c r="D9" i="2"/>
  <c r="E9" i="2"/>
  <c r="F9" i="2"/>
  <c r="G9" i="2"/>
  <c r="H9" i="2"/>
  <c r="B9" i="2"/>
  <c r="I3" i="3"/>
  <c r="H3" i="3"/>
  <c r="G3" i="3"/>
  <c r="F3" i="3"/>
  <c r="E3" i="3"/>
  <c r="D3" i="3"/>
  <c r="C3" i="3"/>
  <c r="B3" i="3"/>
  <c r="K2" i="3"/>
  <c r="K3" i="3" s="1"/>
  <c r="C16" i="1"/>
  <c r="D16" i="1"/>
  <c r="E16" i="1"/>
  <c r="F16" i="1"/>
  <c r="B16" i="1"/>
  <c r="C15" i="1"/>
  <c r="D15" i="1"/>
  <c r="E15" i="1"/>
  <c r="F15" i="1"/>
  <c r="Q14" i="5" l="1"/>
  <c r="M14" i="5"/>
  <c r="P18" i="5"/>
  <c r="Q18" i="5" s="1"/>
  <c r="B19" i="2"/>
  <c r="B22" i="2" s="1"/>
  <c r="P13" i="5"/>
  <c r="Q13" i="5" s="1"/>
  <c r="L14" i="5"/>
  <c r="F17" i="1"/>
  <c r="P8" i="5" s="1"/>
  <c r="D17" i="1"/>
  <c r="P6" i="5" s="1"/>
  <c r="P4" i="5"/>
  <c r="E18" i="1"/>
  <c r="L8" i="5"/>
  <c r="L6" i="5"/>
  <c r="L4" i="5"/>
  <c r="B9" i="12"/>
  <c r="B20" i="2" l="1"/>
  <c r="P10" i="5" s="1"/>
  <c r="L10" i="5"/>
  <c r="E17" i="1"/>
  <c r="P7" i="5" s="1"/>
  <c r="L7" i="5"/>
  <c r="H27" i="12"/>
  <c r="I27" i="12" s="1"/>
  <c r="H48" i="12"/>
  <c r="I48" i="12" s="1"/>
  <c r="H59" i="12"/>
  <c r="I59" i="12" s="1"/>
  <c r="H75" i="12"/>
  <c r="I75" i="12" s="1"/>
  <c r="H80" i="12"/>
  <c r="I80" i="12" s="1"/>
  <c r="H91" i="12"/>
  <c r="I91" i="12" s="1"/>
  <c r="H101" i="12"/>
  <c r="I101" i="12" s="1"/>
  <c r="H17" i="12"/>
  <c r="I17" i="12" s="1"/>
  <c r="H23" i="12"/>
  <c r="I23" i="12" s="1"/>
  <c r="H28" i="12"/>
  <c r="I28" i="12" s="1"/>
  <c r="H33" i="12"/>
  <c r="I33" i="12" s="1"/>
  <c r="H39" i="12"/>
  <c r="I39" i="12" s="1"/>
  <c r="H44" i="12"/>
  <c r="I44" i="12" s="1"/>
  <c r="H49" i="12"/>
  <c r="I49" i="12" s="1"/>
  <c r="H60" i="12"/>
  <c r="I60" i="12" s="1"/>
  <c r="H71" i="12"/>
  <c r="I71" i="12" s="1"/>
  <c r="H81" i="12"/>
  <c r="I81" i="12" s="1"/>
  <c r="H92" i="12"/>
  <c r="I92" i="12" s="1"/>
  <c r="H103" i="12"/>
  <c r="I103" i="12" s="1"/>
  <c r="H21" i="12"/>
  <c r="I21" i="12" s="1"/>
  <c r="H32" i="12"/>
  <c r="I32" i="12" s="1"/>
  <c r="H37" i="12"/>
  <c r="I37" i="12" s="1"/>
  <c r="H43" i="12"/>
  <c r="I43" i="12" s="1"/>
  <c r="H53" i="12"/>
  <c r="I53" i="12" s="1"/>
  <c r="H64" i="12"/>
  <c r="I64" i="12" s="1"/>
  <c r="H69" i="12"/>
  <c r="I69" i="12" s="1"/>
  <c r="H85" i="12"/>
  <c r="H96" i="12"/>
  <c r="I96" i="12" s="1"/>
  <c r="H107" i="12"/>
  <c r="I107" i="12" s="1"/>
  <c r="H29" i="12"/>
  <c r="I29" i="12" s="1"/>
  <c r="H35" i="12"/>
  <c r="I35" i="12" s="1"/>
  <c r="H40" i="12"/>
  <c r="I40" i="12" s="1"/>
  <c r="H45" i="12"/>
  <c r="I45" i="12" s="1"/>
  <c r="H51" i="12"/>
  <c r="I51" i="12" s="1"/>
  <c r="H56" i="12"/>
  <c r="I56" i="12" s="1"/>
  <c r="H61" i="12"/>
  <c r="I61" i="12" s="1"/>
  <c r="H67" i="12"/>
  <c r="I67" i="12" s="1"/>
  <c r="H72" i="12"/>
  <c r="I72" i="12" s="1"/>
  <c r="H77" i="12"/>
  <c r="I77" i="12" s="1"/>
  <c r="H83" i="12"/>
  <c r="I83" i="12" s="1"/>
  <c r="H88" i="12"/>
  <c r="I88" i="12" s="1"/>
  <c r="H93" i="12"/>
  <c r="I93" i="12" s="1"/>
  <c r="H99" i="12"/>
  <c r="I99" i="12" s="1"/>
  <c r="H104" i="12"/>
  <c r="I104" i="12" s="1"/>
  <c r="H55" i="12"/>
  <c r="I55" i="12" s="1"/>
  <c r="H65" i="12"/>
  <c r="I65" i="12" s="1"/>
  <c r="H76" i="12"/>
  <c r="I76" i="12" s="1"/>
  <c r="H87" i="12"/>
  <c r="I87" i="12" s="1"/>
  <c r="H97" i="12"/>
  <c r="I97" i="12" s="1"/>
  <c r="H2" i="12"/>
  <c r="I2" i="12" s="1"/>
  <c r="H19" i="12"/>
  <c r="I19" i="12" s="1"/>
  <c r="H100" i="12"/>
  <c r="I100" i="12" s="1"/>
  <c r="H79" i="12"/>
  <c r="I79" i="12" s="1"/>
  <c r="H57" i="12"/>
  <c r="I57" i="12" s="1"/>
  <c r="H36" i="12"/>
  <c r="I36" i="12" s="1"/>
  <c r="H16" i="12"/>
  <c r="I16" i="12" s="1"/>
  <c r="H106" i="12"/>
  <c r="I106" i="12" s="1"/>
  <c r="H90" i="12"/>
  <c r="I90" i="12" s="1"/>
  <c r="H74" i="12"/>
  <c r="I74" i="12" s="1"/>
  <c r="H58" i="12"/>
  <c r="I58" i="12" s="1"/>
  <c r="H42" i="12"/>
  <c r="I42" i="12" s="1"/>
  <c r="H26" i="12"/>
  <c r="I26" i="12" s="1"/>
  <c r="H10" i="12"/>
  <c r="I10" i="12" s="1"/>
  <c r="H7" i="12"/>
  <c r="I7" i="12" s="1"/>
  <c r="H52" i="12"/>
  <c r="I52" i="12" s="1"/>
  <c r="H31" i="12"/>
  <c r="I31" i="12" s="1"/>
  <c r="H15" i="12"/>
  <c r="I15" i="12" s="1"/>
  <c r="H102" i="12"/>
  <c r="I102" i="12" s="1"/>
  <c r="H86" i="12"/>
  <c r="I86" i="12" s="1"/>
  <c r="H70" i="12"/>
  <c r="I70" i="12" s="1"/>
  <c r="H54" i="12"/>
  <c r="I54" i="12" s="1"/>
  <c r="H38" i="12"/>
  <c r="I38" i="12" s="1"/>
  <c r="H22" i="12"/>
  <c r="I22" i="12" s="1"/>
  <c r="H13" i="12"/>
  <c r="I13" i="12" s="1"/>
  <c r="H6" i="12"/>
  <c r="I6" i="12" s="1"/>
  <c r="H24" i="12"/>
  <c r="I24" i="12" s="1"/>
  <c r="H95" i="12"/>
  <c r="I95" i="12" s="1"/>
  <c r="H73" i="12"/>
  <c r="I73" i="12" s="1"/>
  <c r="H3" i="12"/>
  <c r="I3" i="12" s="1"/>
  <c r="H89" i="12"/>
  <c r="I89" i="12" s="1"/>
  <c r="H68" i="12"/>
  <c r="I68" i="12" s="1"/>
  <c r="H47" i="12"/>
  <c r="I47" i="12" s="1"/>
  <c r="H25" i="12"/>
  <c r="I25" i="12" s="1"/>
  <c r="H12" i="12"/>
  <c r="I12" i="12" s="1"/>
  <c r="H98" i="12"/>
  <c r="I98" i="12" s="1"/>
  <c r="H82" i="12"/>
  <c r="I82" i="12" s="1"/>
  <c r="H66" i="12"/>
  <c r="I66" i="12" s="1"/>
  <c r="H50" i="12"/>
  <c r="I50" i="12" s="1"/>
  <c r="H34" i="12"/>
  <c r="I34" i="12" s="1"/>
  <c r="H18" i="12"/>
  <c r="I18" i="12" s="1"/>
  <c r="H9" i="12"/>
  <c r="I9" i="12" s="1"/>
  <c r="H5" i="12"/>
  <c r="I5" i="12" s="1"/>
  <c r="H105" i="12"/>
  <c r="I105" i="12" s="1"/>
  <c r="H84" i="12"/>
  <c r="I84" i="12" s="1"/>
  <c r="H63" i="12"/>
  <c r="I63" i="12" s="1"/>
  <c r="H41" i="12"/>
  <c r="I41" i="12" s="1"/>
  <c r="H20" i="12"/>
  <c r="I20" i="12" s="1"/>
  <c r="H11" i="12"/>
  <c r="I11" i="12" s="1"/>
  <c r="H94" i="12"/>
  <c r="I94" i="12" s="1"/>
  <c r="H78" i="12"/>
  <c r="I78" i="12" s="1"/>
  <c r="H62" i="12"/>
  <c r="I62" i="12" s="1"/>
  <c r="H46" i="12"/>
  <c r="I46" i="12" s="1"/>
  <c r="H30" i="12"/>
  <c r="I30" i="12" s="1"/>
  <c r="H14" i="12"/>
  <c r="I14" i="12" s="1"/>
  <c r="H8" i="12"/>
  <c r="I8" i="12" s="1"/>
  <c r="H4" i="12"/>
  <c r="I4" i="12" s="1"/>
  <c r="I85" i="12"/>
  <c r="P12" i="5" l="1"/>
  <c r="Q12" i="5" s="1"/>
  <c r="B20" i="4"/>
  <c r="B10" i="4" s="1"/>
  <c r="B17" i="4" s="1"/>
  <c r="Q9" i="5" s="1"/>
  <c r="C18" i="1" l="1"/>
  <c r="C19" i="1"/>
  <c r="Q5" i="5" s="1"/>
  <c r="B15" i="4"/>
  <c r="B16" i="4"/>
  <c r="C17" i="1"/>
  <c r="L5" i="5"/>
  <c r="L9" i="5"/>
  <c r="B25" i="1"/>
  <c r="B26" i="1" s="1"/>
  <c r="P9" i="5" l="1"/>
  <c r="P5" i="5"/>
</calcChain>
</file>

<file path=xl/sharedStrings.xml><?xml version="1.0" encoding="utf-8"?>
<sst xmlns="http://schemas.openxmlformats.org/spreadsheetml/2006/main" count="837" uniqueCount="491">
  <si>
    <t>Fake ID</t>
  </si>
  <si>
    <t>Weed</t>
  </si>
  <si>
    <t>Cash</t>
  </si>
  <si>
    <t>Meth</t>
  </si>
  <si>
    <t>Coke</t>
  </si>
  <si>
    <t>Supplies bought (1/0)</t>
  </si>
  <si>
    <t>External sale</t>
  </si>
  <si>
    <t>Stock used</t>
  </si>
  <si>
    <t>Costs per day</t>
  </si>
  <si>
    <t>Time to fully fill</t>
  </si>
  <si>
    <t>Benefits</t>
  </si>
  <si>
    <t>1 stock unit consumption</t>
  </si>
  <si>
    <t>Full stock consumption</t>
  </si>
  <si>
    <t>GTA$/hour</t>
  </si>
  <si>
    <t xml:space="preserve">Bonus </t>
  </si>
  <si>
    <t>High demand rate</t>
  </si>
  <si>
    <t xml:space="preserve">Total benefits </t>
  </si>
  <si>
    <t>Total GTA$/hour</t>
  </si>
  <si>
    <t>Bunker</t>
  </si>
  <si>
    <t>Costs paid</t>
  </si>
  <si>
    <t xml:space="preserve">Bunker </t>
  </si>
  <si>
    <t>Hangar</t>
  </si>
  <si>
    <t>Money per unit</t>
  </si>
  <si>
    <t>Données</t>
  </si>
  <si>
    <t>Calculs</t>
  </si>
  <si>
    <t>Time per unit (mn)</t>
  </si>
  <si>
    <t>Valeur</t>
  </si>
  <si>
    <t>Temps / unité</t>
  </si>
  <si>
    <t>Unités max</t>
  </si>
  <si>
    <t>Valeur max</t>
  </si>
  <si>
    <t>Temps total</t>
  </si>
  <si>
    <t>GTA$/heure</t>
  </si>
  <si>
    <t>GTA $/hour</t>
  </si>
  <si>
    <t>Imports sud-américains</t>
  </si>
  <si>
    <t>Cocaïne</t>
  </si>
  <si>
    <t>20000 $</t>
  </si>
  <si>
    <t>120 minutes</t>
  </si>
  <si>
    <t>200000 $</t>
  </si>
  <si>
    <t>20 h</t>
  </si>
  <si>
    <t xml:space="preserve">Marchandises et cargaisons </t>
  </si>
  <si>
    <t>Bureau et entrepôt</t>
  </si>
  <si>
    <t>10000 $</t>
  </si>
  <si>
    <t>70 minutes</t>
  </si>
  <si>
    <t>500000 $</t>
  </si>
  <si>
    <t>58 h 20 mn</t>
  </si>
  <si>
    <t>Total units</t>
  </si>
  <si>
    <t>Recherche pharmaceutique</t>
  </si>
  <si>
    <t>8500 $</t>
  </si>
  <si>
    <t>60 minutes</t>
  </si>
  <si>
    <t>170000 $</t>
  </si>
  <si>
    <t>Total time (mn)</t>
  </si>
  <si>
    <t>Articles de chasse</t>
  </si>
  <si>
    <t>5000 $</t>
  </si>
  <si>
    <t>40 minutes</t>
  </si>
  <si>
    <t>66 h 40 mn</t>
  </si>
  <si>
    <t>Max money</t>
  </si>
  <si>
    <t>Création monétaire</t>
  </si>
  <si>
    <t>Fausse monnaie</t>
  </si>
  <si>
    <t>3500 $</t>
  </si>
  <si>
    <t>30 minutes</t>
  </si>
  <si>
    <t>140000 $</t>
  </si>
  <si>
    <t>Produits bio</t>
  </si>
  <si>
    <t>Herbe</t>
  </si>
  <si>
    <t>1500 $</t>
  </si>
  <si>
    <t>20 minutes</t>
  </si>
  <si>
    <t>120000 $</t>
  </si>
  <si>
    <t>26 h 40 mn</t>
  </si>
  <si>
    <t xml:space="preserve">Bonus GTA $ x </t>
  </si>
  <si>
    <t>Copie et impression</t>
  </si>
  <si>
    <t>Faux papiers</t>
  </si>
  <si>
    <t>1000 $</t>
  </si>
  <si>
    <t>15 minutes</t>
  </si>
  <si>
    <t>60000 $</t>
  </si>
  <si>
    <t>15 h</t>
  </si>
  <si>
    <t>Popularity ; GTA $/day</t>
  </si>
  <si>
    <t>Timing sale hours (optimal)</t>
  </si>
  <si>
    <t>Total money (optimal)</t>
  </si>
  <si>
    <t>GTA $/hour (optimal)</t>
  </si>
  <si>
    <t>Nightclub</t>
  </si>
  <si>
    <t xml:space="preserve">Total </t>
  </si>
  <si>
    <t>Costs daily</t>
  </si>
  <si>
    <t>$/hour</t>
  </si>
  <si>
    <t>Bonus GTA$</t>
  </si>
  <si>
    <t xml:space="preserve">Fabrique de faux papiers </t>
  </si>
  <si>
    <t xml:space="preserve">Ferme de canabis </t>
  </si>
  <si>
    <t>Usine de fausse monnaie</t>
  </si>
  <si>
    <t>Laboratoire de méth</t>
  </si>
  <si>
    <t>Atelier de cocaïne</t>
  </si>
  <si>
    <t>Bunker de trafic d'armes</t>
  </si>
  <si>
    <t xml:space="preserve">Boîte de nuit </t>
  </si>
  <si>
    <t>Gains</t>
  </si>
  <si>
    <t>Gains GTA$/heure hôte</t>
  </si>
  <si>
    <t>Gains GTA$/heure membres</t>
  </si>
  <si>
    <t>Nombre de joueurs </t>
  </si>
  <si>
    <t>1 joueur</t>
  </si>
  <si>
    <t>2 joueurs</t>
  </si>
  <si>
    <t>3 joueurs</t>
  </si>
  <si>
    <t>4 joueurs</t>
  </si>
  <si>
    <t>ACTE I</t>
  </si>
  <si>
    <t>ACTE II</t>
  </si>
  <si>
    <t>ACTE III</t>
  </si>
  <si>
    <t>Durée en minutes</t>
  </si>
  <si>
    <t>MISSION</t>
  </si>
  <si>
    <t>Matériel médical</t>
  </si>
  <si>
    <t>Deluxo</t>
  </si>
  <si>
    <t>Akula</t>
  </si>
  <si>
    <t>Coursier mort</t>
  </si>
  <si>
    <t>-</t>
  </si>
  <si>
    <t>Signaux interceptés</t>
  </si>
  <si>
    <t>Parc de serveurs</t>
  </si>
  <si>
    <t>Phase finale</t>
  </si>
  <si>
    <t>Total</t>
  </si>
  <si>
    <t>Cartes magnétiques</t>
  </si>
  <si>
    <t>Infos ULP</t>
  </si>
  <si>
    <t>Véhicule antiémeute</t>
  </si>
  <si>
    <t>Stromberg I</t>
  </si>
  <si>
    <t>Stromberg II</t>
  </si>
  <si>
    <t>Avenger</t>
  </si>
  <si>
    <t>Sauvetage ULP</t>
  </si>
  <si>
    <t>Récupération des disques durs</t>
  </si>
  <si>
    <t>Reconnaissance sous-marine</t>
  </si>
  <si>
    <t>Liquidités</t>
  </si>
  <si>
    <t>Reconnaissance</t>
  </si>
  <si>
    <t>Chernobog</t>
  </si>
  <si>
    <t>Plan de vol</t>
  </si>
  <si>
    <t>Infos du site de test</t>
  </si>
  <si>
    <t>Ordinateur de bord</t>
  </si>
  <si>
    <t>Sauvetage agent 14</t>
  </si>
  <si>
    <t>Escorte ULP</t>
  </si>
  <si>
    <t>Barrage</t>
  </si>
  <si>
    <t>Khanjali</t>
  </si>
  <si>
    <t>Défenses aériennes</t>
  </si>
  <si>
    <t xml:space="preserve">Coût </t>
  </si>
  <si>
    <t>Préparation</t>
  </si>
  <si>
    <t>Final</t>
  </si>
  <si>
    <t>% hôte 2J</t>
  </si>
  <si>
    <t>% hôte 3J</t>
  </si>
  <si>
    <t>% hôte 4J</t>
  </si>
  <si>
    <t>PASSIF</t>
  </si>
  <si>
    <t>Bonus GTA$ x</t>
  </si>
  <si>
    <t>ACTIF</t>
  </si>
  <si>
    <t>Braquages</t>
  </si>
  <si>
    <t>Import/Export</t>
  </si>
  <si>
    <t>Contrebande organisée</t>
  </si>
  <si>
    <t>Braquage de la fin du monde</t>
  </si>
  <si>
    <t>Missions VIP</t>
  </si>
  <si>
    <t>Bureau et entrepôts</t>
  </si>
  <si>
    <t>Gains GTA$/heure</t>
  </si>
  <si>
    <t xml:space="preserve">Hôte </t>
  </si>
  <si>
    <t>Membre</t>
  </si>
  <si>
    <t>Fleeca</t>
  </si>
  <si>
    <t>Sortie de prison</t>
  </si>
  <si>
    <t>Labos humane</t>
  </si>
  <si>
    <t>Capital de départ</t>
  </si>
  <si>
    <t>Casse de la Pacific Standard</t>
  </si>
  <si>
    <t>Repérage</t>
  </si>
  <si>
    <t>Kuruma</t>
  </si>
  <si>
    <t>Casse de la Fleeca Bank</t>
  </si>
  <si>
    <t>FLEECA</t>
  </si>
  <si>
    <t>SORTIE DE PRISON</t>
  </si>
  <si>
    <t>Avion</t>
  </si>
  <si>
    <t>Bus</t>
  </si>
  <si>
    <t>Gain mission</t>
  </si>
  <si>
    <t>Station</t>
  </si>
  <si>
    <t>Elimination</t>
  </si>
  <si>
    <t>Braquage sortie de prison</t>
  </si>
  <si>
    <t>LABOS HUMANE</t>
  </si>
  <si>
    <t>Codes</t>
  </si>
  <si>
    <t>Insurgent</t>
  </si>
  <si>
    <t>IEM</t>
  </si>
  <si>
    <t>Valkyrie</t>
  </si>
  <si>
    <t>Livrer IEM</t>
  </si>
  <si>
    <t>Raid sur les labos humane</t>
  </si>
  <si>
    <t>CAPITAL DE DEPART</t>
  </si>
  <si>
    <t>Ordures</t>
  </si>
  <si>
    <t>Motards</t>
  </si>
  <si>
    <t>Cannabis</t>
  </si>
  <si>
    <t>Braquage Capital de départ</t>
  </si>
  <si>
    <t>Fourgons</t>
  </si>
  <si>
    <t>Transmission</t>
  </si>
  <si>
    <t>Hack</t>
  </si>
  <si>
    <t>Convoi</t>
  </si>
  <si>
    <t>Lectro</t>
  </si>
  <si>
    <t>Braquage Pacific Standard</t>
  </si>
  <si>
    <t>PACIFIC STANDARD</t>
  </si>
  <si>
    <t>Gain braquage</t>
  </si>
  <si>
    <t>% Hôte</t>
  </si>
  <si>
    <t>Attente (mn)</t>
  </si>
  <si>
    <t>Commission $</t>
  </si>
  <si>
    <t>Coût $</t>
  </si>
  <si>
    <t>Bonus</t>
  </si>
  <si>
    <t>Dégats moy / veh $</t>
  </si>
  <si>
    <t>Temps livraison (mn)</t>
  </si>
  <si>
    <t>Nombre véhicules</t>
  </si>
  <si>
    <t xml:space="preserve">Nombre de caisses </t>
  </si>
  <si>
    <t>Coûts</t>
  </si>
  <si>
    <t>Temps mission moyen</t>
  </si>
  <si>
    <t>Nb de caisse</t>
  </si>
  <si>
    <t>Gain</t>
  </si>
  <si>
    <t>Valeur moy</t>
  </si>
  <si>
    <t>Valeur totale</t>
  </si>
  <si>
    <t>Petit entrepot</t>
  </si>
  <si>
    <t>Grand entrepot</t>
  </si>
  <si>
    <t>Moyen entrepot</t>
  </si>
  <si>
    <t>Nombre de missions</t>
  </si>
  <si>
    <t xml:space="preserve">Chiffre d'affaire </t>
  </si>
  <si>
    <t>Coûts totaux</t>
  </si>
  <si>
    <t>Bénéfices</t>
  </si>
  <si>
    <t>Objets spéciaux</t>
  </si>
  <si>
    <t>Prix à l'achat</t>
  </si>
  <si>
    <t>Prix à la revente</t>
  </si>
  <si>
    <t>Montre à gousset</t>
  </si>
  <si>
    <t>Gros diamant</t>
  </si>
  <si>
    <t>Œuf de Fabergé</t>
  </si>
  <si>
    <t>Minigun Doré</t>
  </si>
  <si>
    <t>Peau de Bigfoot</t>
  </si>
  <si>
    <t>Bobine de film</t>
  </si>
  <si>
    <t>Entrepot</t>
  </si>
  <si>
    <t>Taille</t>
  </si>
  <si>
    <t>Bénéfice</t>
  </si>
  <si>
    <t>Temps cooldown</t>
  </si>
  <si>
    <t>Tabac alcool Contrefaçon</t>
  </si>
  <si>
    <t>Espèces      Art     Joallerie</t>
  </si>
  <si>
    <t>Narcotiques Chimiques Médicaux</t>
  </si>
  <si>
    <t>Stock</t>
  </si>
  <si>
    <t>Valeur unité</t>
  </si>
  <si>
    <t xml:space="preserve">Joueurs </t>
  </si>
  <si>
    <t>Temps mission</t>
  </si>
  <si>
    <t>Cooldown</t>
  </si>
  <si>
    <t>Missions mode libre</t>
  </si>
  <si>
    <t>Part de RON / vente</t>
  </si>
  <si>
    <t>Holed Up - Burton</t>
  </si>
  <si>
    <t>Martin Madrazo</t>
  </si>
  <si>
    <t>Caught Napping</t>
  </si>
  <si>
    <t>Lamar Davis</t>
  </si>
  <si>
    <t>Ticket to Elysium</t>
  </si>
  <si>
    <t>Blow Up</t>
  </si>
  <si>
    <t>Simeon Yetarian</t>
  </si>
  <si>
    <t>Crystal Clear Out III</t>
  </si>
  <si>
    <t>Freemode</t>
  </si>
  <si>
    <t>El Burro Heists</t>
  </si>
  <si>
    <t>Time To Get Away</t>
  </si>
  <si>
    <t>Editor and Thief</t>
  </si>
  <si>
    <t>Pier Pressure</t>
  </si>
  <si>
    <t>Gerald</t>
  </si>
  <si>
    <t>Chasers II</t>
  </si>
  <si>
    <t>Potshot</t>
  </si>
  <si>
    <t>All in the Game</t>
  </si>
  <si>
    <t>Rooftop Rumble</t>
  </si>
  <si>
    <t>Water the Vineyard</t>
  </si>
  <si>
    <t>Rockford Roll</t>
  </si>
  <si>
    <t>Death From Above</t>
  </si>
  <si>
    <t>Gassed Up</t>
  </si>
  <si>
    <t>Defender</t>
  </si>
  <si>
    <t>Trash Talk</t>
  </si>
  <si>
    <t>Show Me the Monet</t>
  </si>
  <si>
    <t>No Smoking</t>
  </si>
  <si>
    <t>Violent Duct</t>
  </si>
  <si>
    <t>Romance Isn't Dead</t>
  </si>
  <si>
    <t>Ron Jakowski</t>
  </si>
  <si>
    <t>Fueling the Flames</t>
  </si>
  <si>
    <t>Deal Breaker</t>
  </si>
  <si>
    <t>Grab Your Ballas</t>
  </si>
  <si>
    <t>Turbine Carbine</t>
  </si>
  <si>
    <t>Dish the Dirt</t>
  </si>
  <si>
    <t>Death Metal</t>
  </si>
  <si>
    <t>Dirt Road</t>
  </si>
  <si>
    <t>Meth'd Up</t>
  </si>
  <si>
    <t>Mixed Up With Coke</t>
  </si>
  <si>
    <t>Master Data</t>
  </si>
  <si>
    <t>Lester Crest</t>
  </si>
  <si>
    <t>Cleaning the Cat House</t>
  </si>
  <si>
    <t>Gentry Does It</t>
  </si>
  <si>
    <t>Crime Scenester</t>
  </si>
  <si>
    <t>Out of Court Settlement</t>
  </si>
  <si>
    <t>Blow Up II</t>
  </si>
  <si>
    <t>Blow Up III</t>
  </si>
  <si>
    <t>Four Trailers</t>
  </si>
  <si>
    <t>San Andreas Seoul</t>
  </si>
  <si>
    <t>Lost MC RIP</t>
  </si>
  <si>
    <t>Where Credit's Due</t>
  </si>
  <si>
    <t>Check Out Time</t>
  </si>
  <si>
    <t>War and Pieces</t>
  </si>
  <si>
    <t>Stick Up the Stickup Crew</t>
  </si>
  <si>
    <t>Going Down the GOH</t>
  </si>
  <si>
    <t>It Takes a Thief</t>
  </si>
  <si>
    <t>On the List</t>
  </si>
  <si>
    <t>Satellite Communications</t>
  </si>
  <si>
    <t>Trevor Philips</t>
  </si>
  <si>
    <t>Extradition</t>
  </si>
  <si>
    <t>Hard Labor</t>
  </si>
  <si>
    <t>Artificial Scarcity</t>
  </si>
  <si>
    <t>Teaser Trailer</t>
  </si>
  <si>
    <t>Crystal Clear Out II</t>
  </si>
  <si>
    <t>Wet Workers</t>
  </si>
  <si>
    <t>No Hay Bronca</t>
  </si>
  <si>
    <t>Chasers</t>
  </si>
  <si>
    <t>Flood in the LS River</t>
  </si>
  <si>
    <t>Rich Men in Richman</t>
  </si>
  <si>
    <t>Out of Harmony</t>
  </si>
  <si>
    <t>Denial of Service</t>
  </si>
  <si>
    <t>Crank Up the Volume</t>
  </si>
  <si>
    <t>Coasting</t>
  </si>
  <si>
    <t>A Titan of a Job</t>
  </si>
  <si>
    <t>Cops Capacity</t>
  </si>
  <si>
    <t>Base Invaders</t>
  </si>
  <si>
    <t>Hit 'Em Up</t>
  </si>
  <si>
    <t>Quarry Quarry</t>
  </si>
  <si>
    <t>Ballas to the Wall</t>
  </si>
  <si>
    <t>Handle with Care</t>
  </si>
  <si>
    <t>Effin' Lazers</t>
  </si>
  <si>
    <t>Docks to Stock</t>
  </si>
  <si>
    <t>Method in the Madness</t>
  </si>
  <si>
    <t>Landing Gear</t>
  </si>
  <si>
    <t>Sinking Feeling</t>
  </si>
  <si>
    <t>The Parking Garage</t>
  </si>
  <si>
    <t>Chumash and Grab</t>
  </si>
  <si>
    <t>Close Action</t>
  </si>
  <si>
    <t>By Land, Sea and Air</t>
  </si>
  <si>
    <t>Docks to Stock II</t>
  </si>
  <si>
    <t>Chopper Tail</t>
  </si>
  <si>
    <t>Diamonds are for Trevor</t>
  </si>
  <si>
    <t>Daemon Run</t>
  </si>
  <si>
    <t>Stocks and Scares</t>
  </si>
  <si>
    <t>Last Chopper Outta LS</t>
  </si>
  <si>
    <t>American Exports</t>
  </si>
  <si>
    <t>Truck Together</t>
  </si>
  <si>
    <t>Landing Strip</t>
  </si>
  <si>
    <t>Chemical Extraction</t>
  </si>
  <si>
    <t>Judging the Jury</t>
  </si>
  <si>
    <t>On Maneuvers</t>
  </si>
  <si>
    <t>Hack and Dash</t>
  </si>
  <si>
    <t>Bust Out</t>
  </si>
  <si>
    <t>Dry Docking</t>
  </si>
  <si>
    <t>Factory Closure</t>
  </si>
  <si>
    <t>A Boat in the Bay</t>
  </si>
  <si>
    <t>The Los Santos Connection</t>
  </si>
  <si>
    <t>GTA Today</t>
  </si>
  <si>
    <t>Coveted</t>
  </si>
  <si>
    <t>Crystal Clear Out</t>
  </si>
  <si>
    <t>ATV Steal</t>
  </si>
  <si>
    <t>High Priority Case</t>
  </si>
  <si>
    <t>Pickup Sticks</t>
  </si>
  <si>
    <t>Lost My Mind</t>
  </si>
  <si>
    <t>Chop Chop</t>
  </si>
  <si>
    <t>Mission</t>
  </si>
  <si>
    <t>Contact</t>
  </si>
  <si>
    <t>Rang</t>
  </si>
  <si>
    <t>Joueurs</t>
  </si>
  <si>
    <t xml:space="preserve">Gain de base </t>
  </si>
  <si>
    <t xml:space="preserve">Difficulté </t>
  </si>
  <si>
    <t>Temps</t>
  </si>
  <si>
    <t>Multiplicateur</t>
  </si>
  <si>
    <t>&gt;15</t>
  </si>
  <si>
    <t>Temps chargement</t>
  </si>
  <si>
    <t>Gains max</t>
  </si>
  <si>
    <t>Durée mission</t>
  </si>
  <si>
    <t>Multiplicateur temps</t>
  </si>
  <si>
    <t>Missions de contact</t>
  </si>
  <si>
    <t>Nom</t>
  </si>
  <si>
    <t>Durée</t>
  </si>
  <si>
    <t xml:space="preserve">Attente </t>
  </si>
  <si>
    <t>Hostile Takeover</t>
  </si>
  <si>
    <t>Asset Recovery</t>
  </si>
  <si>
    <t>https://thrillhows.github.io/VIPApp/</t>
  </si>
  <si>
    <t>Executive Search</t>
  </si>
  <si>
    <t>Piracy Prevention</t>
  </si>
  <si>
    <t>Airfreight</t>
  </si>
  <si>
    <t>Haulage</t>
  </si>
  <si>
    <t>Plowed</t>
  </si>
  <si>
    <t>Fully Loaded</t>
  </si>
  <si>
    <t>Amphibious Assault</t>
  </si>
  <si>
    <t>Transporter</t>
  </si>
  <si>
    <t>Fortified</t>
  </si>
  <si>
    <t>Velocity</t>
  </si>
  <si>
    <t>Ramped Up</t>
  </si>
  <si>
    <t>Stockpiling</t>
  </si>
  <si>
    <t>Executive Deathmatch</t>
  </si>
  <si>
    <t>Gains GTA$/mn</t>
  </si>
  <si>
    <t>Collectors Pieces</t>
  </si>
  <si>
    <t>Temps entre missions</t>
  </si>
  <si>
    <t>Liqui</t>
  </si>
  <si>
    <t>Braquage</t>
  </si>
  <si>
    <t>Excursion</t>
  </si>
  <si>
    <t>Liquidation d'actifs</t>
  </si>
  <si>
    <t>Braquage en cours</t>
  </si>
  <si>
    <t>Données en pagaille</t>
  </si>
  <si>
    <t>Attaque ciblée</t>
  </si>
  <si>
    <t>Diamants, brutes</t>
  </si>
  <si>
    <t>Nombre de joueurs</t>
  </si>
  <si>
    <t>Number of players</t>
  </si>
  <si>
    <t>Supplies bought</t>
  </si>
  <si>
    <t>Daily fees</t>
  </si>
  <si>
    <t>High demand bonus</t>
  </si>
  <si>
    <t>PASSIVE</t>
  </si>
  <si>
    <t>ACTIVE</t>
  </si>
  <si>
    <t>Contact missions</t>
  </si>
  <si>
    <t>Heists</t>
  </si>
  <si>
    <t>PDG warehouse</t>
  </si>
  <si>
    <t>Freemode / VIP missions</t>
  </si>
  <si>
    <t>Smuggler's Run</t>
  </si>
  <si>
    <t>Doomsday Heist</t>
  </si>
  <si>
    <t>Document Forgery Office</t>
  </si>
  <si>
    <t>Weed Farm</t>
  </si>
  <si>
    <t>Cunterfeit Cash Factory</t>
  </si>
  <si>
    <t>Methamphetamine Lab</t>
  </si>
  <si>
    <t>Cocaine Lockup</t>
  </si>
  <si>
    <t>Bonus forte demande</t>
  </si>
  <si>
    <t>Coûts journaliers</t>
  </si>
  <si>
    <t>Achat matières premières</t>
  </si>
  <si>
    <t>Active (1/0)</t>
  </si>
  <si>
    <t>CEO</t>
  </si>
  <si>
    <t>Equal</t>
  </si>
  <si>
    <t>1 + 2</t>
  </si>
  <si>
    <t>% hote 1J</t>
  </si>
  <si>
    <t>Actif boîte de nuit
Revenus légaux moyens</t>
  </si>
  <si>
    <t>Remarques</t>
  </si>
  <si>
    <t>Attente</t>
  </si>
  <si>
    <t>Nightclub warehouse 
Average legal payout</t>
  </si>
  <si>
    <t>Nombre de joueurs
revente</t>
  </si>
  <si>
    <t>≥4</t>
  </si>
  <si>
    <t>Achat matières
premières</t>
  </si>
  <si>
    <t>≥6</t>
  </si>
  <si>
    <t>3h</t>
  </si>
  <si>
    <t>6h</t>
  </si>
  <si>
    <t>5h</t>
  </si>
  <si>
    <t>5h20</t>
  </si>
  <si>
    <t>11h40</t>
  </si>
  <si>
    <t>Avec attente</t>
  </si>
  <si>
    <t>Sans attente</t>
  </si>
  <si>
    <t>Temps de revente</t>
  </si>
  <si>
    <t>Total time fill + sell</t>
  </si>
  <si>
    <t>GTA$/heure
global</t>
  </si>
  <si>
    <t>1 entrepôt</t>
  </si>
  <si>
    <t>Pacific</t>
  </si>
  <si>
    <t>Prison</t>
  </si>
  <si>
    <t>Humane</t>
  </si>
  <si>
    <t>Capital</t>
  </si>
  <si>
    <t>Raid sur les labos Humane</t>
  </si>
  <si>
    <t>Casse de la Fleeca</t>
  </si>
  <si>
    <t>Données initiales</t>
  </si>
  <si>
    <t>2 entrepôts ou plus</t>
  </si>
  <si>
    <t>Options diverses</t>
  </si>
  <si>
    <t>Temps revente total</t>
  </si>
  <si>
    <t>Vente à l'extérieur</t>
  </si>
  <si>
    <t xml:space="preserve">Privilégiez les ventes à l'extérieur : 50% de bonus </t>
  </si>
  <si>
    <t xml:space="preserve">Il est préférable de vendre lorsqu'un bien est rempli </t>
  </si>
  <si>
    <t xml:space="preserve">Privilégiez les missions de rang élevé avec le plus de joueurs  </t>
  </si>
  <si>
    <t xml:space="preserve">Le Casse de la Pacific Standard est le meilleur choix </t>
  </si>
  <si>
    <t>L'ACTE 1 est le meilleur choix, facile et rentable</t>
  </si>
  <si>
    <t>2 entrepôts suppriment le temps d'attente, achetez les caisses par 3</t>
  </si>
  <si>
    <t>Excursion, Liquidation d'actifs et les missions du Terrorbyte en alternant</t>
  </si>
  <si>
    <t xml:space="preserve">Revendez toujours chez un concessionnaire spécialisé </t>
  </si>
  <si>
    <t>Narcotiques et produits chimiquesen alternant entre deux sans temps d'attente</t>
  </si>
  <si>
    <t xml:space="preserve">Temps récupération </t>
  </si>
  <si>
    <t>Temps de réapprovisionnement</t>
  </si>
  <si>
    <t>Temps de reappro</t>
  </si>
  <si>
    <t>Temps de réappro unit</t>
  </si>
  <si>
    <t>Temps de réappro total</t>
  </si>
  <si>
    <t>Temps de remplissage 
ou d'attente</t>
  </si>
  <si>
    <t>RECHERCHEH(P14;PDG!B1:D12;8;FAUX)*60/(PDG!B13*PDG!B12)</t>
  </si>
  <si>
    <t>RECHERCHEH(I17;Hangar!B14:E16;3;FAUX)</t>
  </si>
  <si>
    <t>GTA$/heure 
temps de jeu effectif</t>
  </si>
  <si>
    <t xml:space="preserve">Ferme de cannabis </t>
  </si>
  <si>
    <t>Moyenne</t>
  </si>
  <si>
    <t>Missions Terrorbyte</t>
  </si>
  <si>
    <t>Gains avec Terrorbyte</t>
  </si>
  <si>
    <t>Gains sans Terrorbyte</t>
  </si>
  <si>
    <t xml:space="preserve">Gain aide </t>
  </si>
  <si>
    <t>Vente sur place</t>
  </si>
  <si>
    <t>Temps revente</t>
  </si>
  <si>
    <t>GTA$/heure effectif</t>
  </si>
  <si>
    <t>Possédé (1/0)</t>
  </si>
  <si>
    <t>Achat matières (1/0)</t>
  </si>
  <si>
    <t>Coûts journaliers (1/0)</t>
  </si>
  <si>
    <t>Valeur de vente base</t>
  </si>
  <si>
    <t>Valeur de vente</t>
  </si>
  <si>
    <t>Stock utilisé</t>
  </si>
  <si>
    <t>Temps remplissage</t>
  </si>
  <si>
    <t>Remplissage + vente</t>
  </si>
  <si>
    <t xml:space="preserve">GTA$/heure </t>
  </si>
  <si>
    <t>Gain associés</t>
  </si>
  <si>
    <t>Vente à Blaine County</t>
  </si>
  <si>
    <t>Vente à Los Santos</t>
  </si>
  <si>
    <t>Gains associés</t>
  </si>
  <si>
    <t>Temps de revente (min)</t>
  </si>
  <si>
    <t>GTA$/heure effectif equal</t>
  </si>
  <si>
    <t>GTA$/h revente equal</t>
  </si>
  <si>
    <t xml:space="preserve">GTA$/h revente </t>
  </si>
  <si>
    <t>GTA$/heure equal</t>
  </si>
  <si>
    <t>Temps total equal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</si>
</sst>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[$$-C0C]"/>
    <numFmt numFmtId="165" formatCode="&quot;x&quot;0"/>
    <numFmt numFmtId="166" formatCode="&quot;OUI&quot;;&quot;OUI&quot;;&quot;NON&quot;"/>
    <numFmt numFmtId="167" formatCode="&quot;YES&quot;;&quot;YES&quot;;&quot;NO&quot;"/>
    <numFmt numFmtId="168" formatCode="#,##0&quot; &quot;[$$]"/>
    <numFmt numFmtId="169" formatCode="&quot;x&quot;0.00"/>
    <numFmt numFmtId="170" formatCode="0&quot;h&quot;"/>
    <numFmt numFmtId="171" formatCode="#\ ##0&quot; &quot;[$$]&quot;/h&quot;"/>
    <numFmt numFmtId="172" formatCode="#\ ##0&quot; &quot;[$$]"/>
    <numFmt numFmtId="173" formatCode="0&quot;mn&quot;"/>
    <numFmt numFmtId="174" formatCode="#\ ###\ ##0&quot; &quot;[$$]&quot;/h&quot;"/>
    <numFmt numFmtId="175" formatCode="#\ ###\ ##0&quot; &quot;[$$]"/>
    <numFmt numFmtId="176" formatCode="&quot;Dégats par véhicule&quot;\ #,##0&quot; &quot;[$$]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35A15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35A156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5A1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9D6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/>
      </right>
      <top style="thin">
        <color theme="0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/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6795556505021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98474074526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/>
      </right>
      <top style="thin">
        <color theme="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/>
    </xf>
    <xf numFmtId="1" fontId="0" fillId="0" borderId="0" xfId="0" applyNumberFormat="1"/>
    <xf numFmtId="0" fontId="0" fillId="4" borderId="0" xfId="0" applyFill="1"/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9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ill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0" xfId="0" applyNumberFormat="1"/>
    <xf numFmtId="0" fontId="0" fillId="2" borderId="0" xfId="0" applyNumberFormat="1" applyFill="1"/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4" borderId="5" xfId="0" applyFill="1" applyBorder="1"/>
    <xf numFmtId="165" fontId="0" fillId="0" borderId="0" xfId="0" applyNumberFormat="1" applyAlignment="1">
      <alignment horizontal="center"/>
    </xf>
    <xf numFmtId="165" fontId="0" fillId="4" borderId="0" xfId="0" applyNumberFormat="1" applyFill="1"/>
    <xf numFmtId="165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/>
    </xf>
    <xf numFmtId="167" fontId="0" fillId="4" borderId="0" xfId="0" applyNumberFormat="1" applyFill="1"/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/>
    </xf>
    <xf numFmtId="168" fontId="0" fillId="4" borderId="0" xfId="0" applyNumberFormat="1" applyFill="1"/>
    <xf numFmtId="168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right"/>
    </xf>
    <xf numFmtId="0" fontId="0" fillId="4" borderId="0" xfId="0" applyFill="1" applyAlignment="1">
      <alignment horizontal="center"/>
    </xf>
    <xf numFmtId="1" fontId="0" fillId="0" borderId="0" xfId="0" applyNumberFormat="1" applyAlignment="1">
      <alignment horizontal="right"/>
    </xf>
    <xf numFmtId="168" fontId="0" fillId="0" borderId="15" xfId="0" applyNumberFormat="1" applyFill="1" applyBorder="1" applyAlignment="1">
      <alignment horizontal="center"/>
    </xf>
    <xf numFmtId="166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6" fontId="0" fillId="0" borderId="16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 vertical="center"/>
    </xf>
    <xf numFmtId="168" fontId="0" fillId="0" borderId="13" xfId="0" applyNumberFormat="1" applyFill="1" applyBorder="1" applyAlignment="1">
      <alignment horizontal="center"/>
    </xf>
    <xf numFmtId="166" fontId="0" fillId="0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66" fontId="0" fillId="0" borderId="18" xfId="0" applyNumberFormat="1" applyFill="1" applyBorder="1" applyAlignment="1">
      <alignment horizontal="center"/>
    </xf>
    <xf numFmtId="165" fontId="0" fillId="0" borderId="17" xfId="0" applyNumberFormat="1" applyFill="1" applyBorder="1" applyAlignment="1">
      <alignment horizontal="center"/>
    </xf>
    <xf numFmtId="169" fontId="0" fillId="0" borderId="13" xfId="0" applyNumberFormat="1" applyFill="1" applyBorder="1" applyAlignment="1">
      <alignment horizontal="center"/>
    </xf>
    <xf numFmtId="165" fontId="0" fillId="0" borderId="19" xfId="0" applyNumberFormat="1" applyFill="1" applyBorder="1" applyAlignment="1">
      <alignment horizontal="center"/>
    </xf>
    <xf numFmtId="169" fontId="0" fillId="0" borderId="20" xfId="0" applyNumberFormat="1" applyFill="1" applyBorder="1" applyAlignment="1">
      <alignment horizontal="center"/>
    </xf>
    <xf numFmtId="168" fontId="0" fillId="0" borderId="20" xfId="0" applyNumberFormat="1" applyFill="1" applyBorder="1" applyAlignment="1">
      <alignment horizontal="center"/>
    </xf>
    <xf numFmtId="166" fontId="0" fillId="0" borderId="20" xfId="0" applyNumberForma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168" fontId="0" fillId="0" borderId="21" xfId="0" applyNumberFormat="1" applyFill="1" applyBorder="1" applyAlignment="1">
      <alignment horizontal="center"/>
    </xf>
    <xf numFmtId="165" fontId="0" fillId="0" borderId="0" xfId="0" applyNumberFormat="1" applyFill="1"/>
    <xf numFmtId="169" fontId="0" fillId="0" borderId="0" xfId="0" applyNumberFormat="1" applyFill="1"/>
    <xf numFmtId="168" fontId="0" fillId="0" borderId="0" xfId="0" applyNumberFormat="1" applyFill="1"/>
    <xf numFmtId="166" fontId="0" fillId="0" borderId="0" xfId="0" applyNumberFormat="1" applyFill="1"/>
    <xf numFmtId="165" fontId="0" fillId="0" borderId="14" xfId="0" applyNumberFormat="1" applyFill="1" applyBorder="1" applyAlignment="1">
      <alignment horizontal="center" vertical="center"/>
    </xf>
    <xf numFmtId="169" fontId="0" fillId="0" borderId="15" xfId="0" applyNumberFormat="1" applyFill="1" applyBorder="1" applyAlignment="1">
      <alignment horizontal="center" vertical="center"/>
    </xf>
    <xf numFmtId="168" fontId="0" fillId="0" borderId="15" xfId="0" applyNumberFormat="1" applyFill="1" applyBorder="1" applyAlignment="1">
      <alignment horizontal="center" vertical="center"/>
    </xf>
    <xf numFmtId="166" fontId="0" fillId="0" borderId="15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5" fontId="0" fillId="0" borderId="17" xfId="0" applyNumberFormat="1" applyFill="1" applyBorder="1" applyAlignment="1">
      <alignment horizontal="center" vertical="center"/>
    </xf>
    <xf numFmtId="169" fontId="0" fillId="0" borderId="13" xfId="0" applyNumberFormat="1" applyFill="1" applyBorder="1" applyAlignment="1">
      <alignment horizontal="center" vertical="center"/>
    </xf>
    <xf numFmtId="168" fontId="0" fillId="0" borderId="13" xfId="0" applyNumberFormat="1" applyFill="1" applyBorder="1" applyAlignment="1">
      <alignment horizontal="center" vertical="center"/>
    </xf>
    <xf numFmtId="166" fontId="0" fillId="0" borderId="13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66" fontId="0" fillId="0" borderId="18" xfId="0" applyNumberFormat="1" applyFill="1" applyBorder="1" applyAlignment="1">
      <alignment horizontal="center" vertical="center"/>
    </xf>
    <xf numFmtId="165" fontId="0" fillId="0" borderId="19" xfId="0" applyNumberFormat="1" applyFill="1" applyBorder="1" applyAlignment="1">
      <alignment horizontal="center" vertical="center"/>
    </xf>
    <xf numFmtId="169" fontId="0" fillId="0" borderId="20" xfId="0" applyNumberFormat="1" applyFill="1" applyBorder="1" applyAlignment="1">
      <alignment horizontal="center" vertical="center"/>
    </xf>
    <xf numFmtId="168" fontId="0" fillId="0" borderId="20" xfId="0" applyNumberFormat="1" applyFill="1" applyBorder="1" applyAlignment="1">
      <alignment horizontal="center" vertical="center"/>
    </xf>
    <xf numFmtId="166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textRotation="90"/>
    </xf>
    <xf numFmtId="0" fontId="7" fillId="3" borderId="8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center" vertical="center" textRotation="90"/>
    </xf>
    <xf numFmtId="0" fontId="0" fillId="0" borderId="0" xfId="0" applyAlignment="1"/>
    <xf numFmtId="0" fontId="4" fillId="5" borderId="13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textRotation="90" wrapText="1"/>
    </xf>
    <xf numFmtId="165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166" fontId="4" fillId="5" borderId="15" xfId="0" applyNumberFormat="1" applyFont="1" applyFill="1" applyBorder="1" applyAlignment="1" applyProtection="1">
      <alignment horizontal="center" vertical="center"/>
      <protection locked="0"/>
    </xf>
    <xf numFmtId="166" fontId="4" fillId="5" borderId="13" xfId="0" applyNumberFormat="1" applyFont="1" applyFill="1" applyBorder="1" applyAlignment="1" applyProtection="1">
      <alignment horizontal="center" vertical="center"/>
      <protection locked="0"/>
    </xf>
    <xf numFmtId="169" fontId="4" fillId="5" borderId="2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166" fontId="4" fillId="5" borderId="25" xfId="0" applyNumberFormat="1" applyFont="1" applyFill="1" applyBorder="1" applyAlignment="1" applyProtection="1">
      <alignment horizontal="center" vertical="center"/>
      <protection locked="0"/>
    </xf>
    <xf numFmtId="166" fontId="4" fillId="5" borderId="27" xfId="0" applyNumberFormat="1" applyFont="1" applyFill="1" applyBorder="1" applyAlignment="1" applyProtection="1">
      <alignment horizontal="center" vertical="center"/>
      <protection locked="0"/>
    </xf>
    <xf numFmtId="175" fontId="4" fillId="5" borderId="15" xfId="0" applyNumberFormat="1" applyFont="1" applyFill="1" applyBorder="1" applyAlignment="1" applyProtection="1">
      <alignment horizontal="center" vertical="center"/>
      <protection locked="0"/>
    </xf>
    <xf numFmtId="175" fontId="4" fillId="5" borderId="13" xfId="0" applyNumberFormat="1" applyFont="1" applyFill="1" applyBorder="1" applyAlignment="1" applyProtection="1">
      <alignment horizontal="center" vertical="center"/>
      <protection locked="0"/>
    </xf>
    <xf numFmtId="175" fontId="4" fillId="5" borderId="20" xfId="0" applyNumberFormat="1" applyFont="1" applyFill="1" applyBorder="1" applyAlignment="1" applyProtection="1">
      <alignment horizontal="center" vertical="center"/>
      <protection locked="0"/>
    </xf>
    <xf numFmtId="175" fontId="4" fillId="5" borderId="33" xfId="0" applyNumberFormat="1" applyFont="1" applyFill="1" applyBorder="1" applyAlignment="1" applyProtection="1">
      <alignment horizontal="center" vertical="center"/>
      <protection locked="0"/>
    </xf>
    <xf numFmtId="1" fontId="0" fillId="2" borderId="0" xfId="0" applyNumberFormat="1" applyFill="1"/>
    <xf numFmtId="0" fontId="0" fillId="5" borderId="0" xfId="0" applyFill="1"/>
    <xf numFmtId="1" fontId="0" fillId="5" borderId="0" xfId="0" applyNumberFormat="1" applyFill="1"/>
    <xf numFmtId="166" fontId="4" fillId="5" borderId="4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/>
    </xf>
    <xf numFmtId="168" fontId="4" fillId="4" borderId="0" xfId="0" applyNumberFormat="1" applyFont="1" applyFill="1" applyBorder="1" applyAlignment="1" applyProtection="1">
      <alignment vertical="center"/>
    </xf>
    <xf numFmtId="168" fontId="4" fillId="4" borderId="37" xfId="0" applyNumberFormat="1" applyFont="1" applyFill="1" applyBorder="1" applyAlignment="1" applyProtection="1">
      <alignment horizontal="center" vertical="center"/>
    </xf>
    <xf numFmtId="168" fontId="4" fillId="4" borderId="29" xfId="0" applyNumberFormat="1" applyFont="1" applyFill="1" applyBorder="1" applyAlignment="1" applyProtection="1">
      <alignment horizontal="center" vertical="center"/>
    </xf>
    <xf numFmtId="168" fontId="4" fillId="4" borderId="36" xfId="0" applyNumberFormat="1" applyFont="1" applyFill="1" applyBorder="1" applyAlignment="1" applyProtection="1">
      <alignment horizontal="center" vertical="center"/>
    </xf>
    <xf numFmtId="170" fontId="4" fillId="4" borderId="37" xfId="0" applyNumberFormat="1" applyFont="1" applyFill="1" applyBorder="1" applyAlignment="1" applyProtection="1">
      <alignment horizontal="center" vertical="center"/>
    </xf>
    <xf numFmtId="173" fontId="4" fillId="4" borderId="13" xfId="0" applyNumberFormat="1" applyFont="1" applyFill="1" applyBorder="1" applyAlignment="1" applyProtection="1">
      <alignment horizontal="center" vertical="center"/>
    </xf>
    <xf numFmtId="173" fontId="4" fillId="4" borderId="35" xfId="0" applyNumberFormat="1" applyFont="1" applyFill="1" applyBorder="1" applyAlignment="1" applyProtection="1">
      <alignment horizontal="center" vertical="center"/>
    </xf>
    <xf numFmtId="0" fontId="0" fillId="3" borderId="0" xfId="0" applyFill="1"/>
    <xf numFmtId="0" fontId="0" fillId="3" borderId="0" xfId="0" applyNumberFormat="1" applyFill="1"/>
    <xf numFmtId="166" fontId="4" fillId="5" borderId="4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0" fillId="5" borderId="0" xfId="0" applyFill="1" applyBorder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165" fontId="4" fillId="5" borderId="14" xfId="0" applyNumberFormat="1" applyFont="1" applyFill="1" applyBorder="1" applyAlignment="1" applyProtection="1">
      <alignment horizontal="center" vertical="center"/>
      <protection locked="0"/>
    </xf>
    <xf numFmtId="165" fontId="4" fillId="5" borderId="17" xfId="0" applyNumberFormat="1" applyFont="1" applyFill="1" applyBorder="1" applyAlignment="1" applyProtection="1">
      <alignment horizontal="center" vertical="center"/>
      <protection locked="0"/>
    </xf>
    <xf numFmtId="169" fontId="4" fillId="5" borderId="13" xfId="0" applyNumberFormat="1" applyFont="1" applyFill="1" applyBorder="1" applyAlignment="1" applyProtection="1">
      <alignment horizontal="center" vertical="center"/>
      <protection locked="0"/>
    </xf>
    <xf numFmtId="165" fontId="4" fillId="5" borderId="14" xfId="0" applyNumberFormat="1" applyFont="1" applyFill="1" applyBorder="1" applyAlignment="1" applyProtection="1">
      <alignment horizontal="center" vertical="center"/>
      <protection locked="0"/>
    </xf>
    <xf numFmtId="165" fontId="4" fillId="5" borderId="17" xfId="0" applyNumberFormat="1" applyFont="1" applyFill="1" applyBorder="1" applyAlignment="1" applyProtection="1">
      <alignment horizontal="center" vertical="center"/>
      <protection locked="0"/>
    </xf>
    <xf numFmtId="169" fontId="4" fillId="5" borderId="15" xfId="0" applyNumberFormat="1" applyFont="1" applyFill="1" applyBorder="1" applyAlignment="1" applyProtection="1">
      <alignment horizontal="center" vertical="center"/>
      <protection locked="0"/>
    </xf>
    <xf numFmtId="169" fontId="4" fillId="5" borderId="13" xfId="0" applyNumberFormat="1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center" vertical="center"/>
    </xf>
    <xf numFmtId="165" fontId="0" fillId="0" borderId="17" xfId="0" applyNumberFormat="1" applyFill="1" applyBorder="1" applyAlignment="1">
      <alignment horizontal="center" vertical="center"/>
    </xf>
    <xf numFmtId="169" fontId="0" fillId="0" borderId="15" xfId="0" applyNumberFormat="1" applyFill="1" applyBorder="1" applyAlignment="1">
      <alignment horizontal="center" vertical="center"/>
    </xf>
    <xf numFmtId="169" fontId="0" fillId="0" borderId="13" xfId="0" applyNumberFormat="1" applyFill="1" applyBorder="1" applyAlignment="1">
      <alignment horizontal="center" vertical="center"/>
    </xf>
    <xf numFmtId="0" fontId="0" fillId="4" borderId="0" xfId="0" applyFill="1" applyProtection="1"/>
    <xf numFmtId="0" fontId="0" fillId="0" borderId="0" xfId="0" applyProtection="1"/>
    <xf numFmtId="0" fontId="7" fillId="3" borderId="11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0" fillId="4" borderId="0" xfId="0" applyFill="1" applyAlignment="1" applyProtection="1">
      <alignment vertical="center"/>
    </xf>
    <xf numFmtId="0" fontId="7" fillId="3" borderId="8" xfId="0" applyFont="1" applyFill="1" applyBorder="1" applyAlignment="1" applyProtection="1">
      <alignment horizontal="center" vertical="center" textRotation="90"/>
    </xf>
    <xf numFmtId="0" fontId="7" fillId="3" borderId="8" xfId="0" applyFont="1" applyFill="1" applyBorder="1" applyAlignment="1" applyProtection="1">
      <alignment horizontal="center" vertical="center" textRotation="90" wrapText="1"/>
    </xf>
    <xf numFmtId="0" fontId="7" fillId="3" borderId="39" xfId="0" applyFont="1" applyFill="1" applyBorder="1" applyAlignment="1" applyProtection="1">
      <alignment horizontal="center" vertical="center" textRotation="90" wrapText="1"/>
    </xf>
    <xf numFmtId="0" fontId="7" fillId="3" borderId="11" xfId="0" applyFont="1" applyFill="1" applyBorder="1" applyAlignment="1" applyProtection="1">
      <alignment horizontal="center" vertical="center" textRotation="90" wrapText="1"/>
    </xf>
    <xf numFmtId="0" fontId="7" fillId="3" borderId="2" xfId="0" applyFont="1" applyFill="1" applyBorder="1" applyAlignment="1" applyProtection="1">
      <alignment horizontal="center" vertical="center" textRotation="90" wrapText="1"/>
    </xf>
    <xf numFmtId="0" fontId="7" fillId="3" borderId="6" xfId="0" applyFont="1" applyFill="1" applyBorder="1" applyAlignment="1" applyProtection="1">
      <alignment horizontal="center" vertical="center" textRotation="90" wrapText="1"/>
    </xf>
    <xf numFmtId="0" fontId="7" fillId="3" borderId="2" xfId="0" applyFont="1" applyFill="1" applyBorder="1" applyAlignment="1" applyProtection="1">
      <alignment horizontal="center" vertical="center" textRotation="90"/>
    </xf>
    <xf numFmtId="0" fontId="5" fillId="3" borderId="8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172" fontId="4" fillId="4" borderId="26" xfId="0" applyNumberFormat="1" applyFont="1" applyFill="1" applyBorder="1" applyAlignment="1" applyProtection="1">
      <alignment horizontal="center" vertical="center"/>
    </xf>
    <xf numFmtId="168" fontId="4" fillId="4" borderId="35" xfId="0" applyNumberFormat="1" applyFont="1" applyFill="1" applyBorder="1" applyAlignment="1" applyProtection="1">
      <alignment horizontal="center" vertical="center"/>
    </xf>
    <xf numFmtId="173" fontId="4" fillId="4" borderId="26" xfId="0" applyNumberFormat="1" applyFont="1" applyFill="1" applyBorder="1" applyAlignment="1" applyProtection="1">
      <alignment horizontal="center" vertical="center"/>
    </xf>
    <xf numFmtId="171" fontId="4" fillId="0" borderId="26" xfId="0" applyNumberFormat="1" applyFont="1" applyBorder="1" applyAlignment="1" applyProtection="1">
      <alignment horizontal="center" vertical="center"/>
    </xf>
    <xf numFmtId="174" fontId="4" fillId="4" borderId="49" xfId="0" applyNumberFormat="1" applyFont="1" applyFill="1" applyBorder="1" applyAlignment="1" applyProtection="1">
      <alignment horizontal="center" vertical="center"/>
    </xf>
    <xf numFmtId="0" fontId="4" fillId="4" borderId="45" xfId="0" applyFont="1" applyFill="1" applyBorder="1" applyAlignment="1" applyProtection="1">
      <alignment horizontal="center" vertical="center"/>
    </xf>
    <xf numFmtId="0" fontId="0" fillId="4" borderId="44" xfId="0" applyFont="1" applyFill="1" applyBorder="1" applyProtection="1"/>
    <xf numFmtId="20" fontId="0" fillId="0" borderId="0" xfId="0" applyNumberFormat="1" applyProtection="1"/>
    <xf numFmtId="0" fontId="5" fillId="3" borderId="9" xfId="0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172" fontId="4" fillId="4" borderId="28" xfId="0" applyNumberFormat="1" applyFont="1" applyFill="1" applyBorder="1" applyAlignment="1" applyProtection="1">
      <alignment horizontal="center" vertical="center"/>
    </xf>
    <xf numFmtId="173" fontId="4" fillId="4" borderId="28" xfId="0" applyNumberFormat="1" applyFont="1" applyFill="1" applyBorder="1" applyAlignment="1" applyProtection="1">
      <alignment horizontal="center" vertical="center"/>
    </xf>
    <xf numFmtId="171" fontId="4" fillId="0" borderId="28" xfId="0" applyNumberFormat="1" applyFont="1" applyBorder="1" applyAlignment="1" applyProtection="1">
      <alignment horizontal="center" vertical="center"/>
    </xf>
    <xf numFmtId="174" fontId="4" fillId="4" borderId="50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6" fillId="0" borderId="0" xfId="0" applyFont="1" applyProtection="1"/>
    <xf numFmtId="0" fontId="5" fillId="3" borderId="10" xfId="0" applyFont="1" applyFill="1" applyBorder="1" applyAlignment="1" applyProtection="1">
      <alignment horizontal="center" vertical="center"/>
    </xf>
    <xf numFmtId="166" fontId="4" fillId="0" borderId="20" xfId="0" applyNumberFormat="1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175" fontId="4" fillId="0" borderId="42" xfId="0" applyNumberFormat="1" applyFont="1" applyFill="1" applyBorder="1" applyAlignment="1" applyProtection="1">
      <alignment horizontal="center" vertical="center"/>
    </xf>
    <xf numFmtId="172" fontId="4" fillId="4" borderId="31" xfId="0" applyNumberFormat="1" applyFont="1" applyFill="1" applyBorder="1" applyAlignment="1" applyProtection="1">
      <alignment horizontal="center" vertical="center"/>
    </xf>
    <xf numFmtId="170" fontId="4" fillId="4" borderId="36" xfId="0" applyNumberFormat="1" applyFont="1" applyFill="1" applyBorder="1" applyAlignment="1" applyProtection="1">
      <alignment horizontal="center" vertical="center"/>
    </xf>
    <xf numFmtId="173" fontId="4" fillId="4" borderId="31" xfId="0" applyNumberFormat="1" applyFont="1" applyFill="1" applyBorder="1" applyAlignment="1" applyProtection="1">
      <alignment horizontal="center" vertical="center"/>
    </xf>
    <xf numFmtId="171" fontId="4" fillId="0" borderId="31" xfId="0" applyNumberFormat="1" applyFont="1" applyBorder="1" applyAlignment="1" applyProtection="1">
      <alignment horizontal="center" vertical="center"/>
    </xf>
    <xf numFmtId="174" fontId="4" fillId="4" borderId="51" xfId="0" applyNumberFormat="1" applyFont="1" applyFill="1" applyBorder="1" applyAlignment="1" applyProtection="1">
      <alignment horizontal="center" vertical="center"/>
    </xf>
    <xf numFmtId="0" fontId="4" fillId="4" borderId="46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165" fontId="4" fillId="4" borderId="0" xfId="0" applyNumberFormat="1" applyFont="1" applyFill="1" applyAlignment="1" applyProtection="1">
      <alignment vertical="center"/>
    </xf>
    <xf numFmtId="169" fontId="4" fillId="4" borderId="0" xfId="0" applyNumberFormat="1" applyFont="1" applyFill="1" applyAlignment="1" applyProtection="1">
      <alignment vertical="center"/>
    </xf>
    <xf numFmtId="168" fontId="4" fillId="4" borderId="0" xfId="0" applyNumberFormat="1" applyFont="1" applyFill="1" applyAlignment="1" applyProtection="1">
      <alignment vertical="center"/>
    </xf>
    <xf numFmtId="166" fontId="4" fillId="4" borderId="0" xfId="0" applyNumberFormat="1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171" fontId="4" fillId="4" borderId="0" xfId="0" applyNumberFormat="1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169" fontId="4" fillId="0" borderId="15" xfId="0" applyNumberFormat="1" applyFont="1" applyBorder="1" applyAlignment="1" applyProtection="1">
      <alignment horizontal="center" vertical="center"/>
    </xf>
    <xf numFmtId="168" fontId="4" fillId="0" borderId="15" xfId="0" applyNumberFormat="1" applyFont="1" applyBorder="1" applyAlignment="1" applyProtection="1">
      <alignment horizontal="center" vertical="center"/>
    </xf>
    <xf numFmtId="166" fontId="4" fillId="0" borderId="15" xfId="0" applyNumberFormat="1" applyFont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3" xfId="0" applyFont="1" applyFill="1" applyBorder="1" applyAlignment="1" applyProtection="1">
      <alignment horizontal="center" vertical="center"/>
    </xf>
    <xf numFmtId="168" fontId="4" fillId="4" borderId="32" xfId="0" applyNumberFormat="1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center" vertical="center"/>
    </xf>
    <xf numFmtId="171" fontId="4" fillId="0" borderId="32" xfId="0" applyNumberFormat="1" applyFont="1" applyBorder="1" applyAlignment="1" applyProtection="1">
      <alignment horizontal="center" vertical="center"/>
    </xf>
    <xf numFmtId="171" fontId="4" fillId="4" borderId="52" xfId="0" applyNumberFormat="1" applyFont="1" applyFill="1" applyBorder="1" applyAlignment="1" applyProtection="1">
      <alignment horizontal="center" vertical="center"/>
    </xf>
    <xf numFmtId="0" fontId="4" fillId="4" borderId="47" xfId="0" applyFont="1" applyFill="1" applyBorder="1" applyAlignment="1" applyProtection="1">
      <alignment horizontal="center" vertical="center"/>
    </xf>
    <xf numFmtId="169" fontId="4" fillId="0" borderId="13" xfId="0" applyNumberFormat="1" applyFont="1" applyBorder="1" applyAlignment="1" applyProtection="1">
      <alignment horizontal="center" vertical="center"/>
    </xf>
    <xf numFmtId="168" fontId="4" fillId="0" borderId="13" xfId="0" applyNumberFormat="1" applyFont="1" applyBorder="1" applyAlignment="1" applyProtection="1">
      <alignment horizontal="center" vertical="center"/>
    </xf>
    <xf numFmtId="166" fontId="4" fillId="0" borderId="13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168" fontId="4" fillId="4" borderId="28" xfId="0" applyNumberFormat="1" applyFont="1" applyFill="1" applyBorder="1" applyAlignment="1" applyProtection="1">
      <alignment horizontal="center" vertical="center"/>
    </xf>
    <xf numFmtId="0" fontId="4" fillId="4" borderId="28" xfId="0" applyFont="1" applyFill="1" applyBorder="1" applyAlignment="1" applyProtection="1">
      <alignment horizontal="center" vertical="center"/>
    </xf>
    <xf numFmtId="0" fontId="4" fillId="4" borderId="48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170" fontId="4" fillId="4" borderId="29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173" fontId="4" fillId="4" borderId="0" xfId="0" applyNumberFormat="1" applyFont="1" applyFill="1" applyBorder="1" applyAlignment="1" applyProtection="1">
      <alignment horizontal="center" vertical="center"/>
    </xf>
    <xf numFmtId="173" fontId="4" fillId="4" borderId="41" xfId="0" applyNumberFormat="1" applyFont="1" applyFill="1" applyBorder="1" applyAlignment="1" applyProtection="1">
      <alignment horizontal="center" vertical="center"/>
    </xf>
    <xf numFmtId="175" fontId="4" fillId="0" borderId="13" xfId="0" applyNumberFormat="1" applyFont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169" fontId="4" fillId="0" borderId="20" xfId="0" applyNumberFormat="1" applyFont="1" applyBorder="1" applyAlignment="1" applyProtection="1">
      <alignment horizontal="center" vertical="center"/>
    </xf>
    <xf numFmtId="168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168" fontId="4" fillId="4" borderId="31" xfId="0" applyNumberFormat="1" applyFont="1" applyFill="1" applyBorder="1" applyAlignment="1" applyProtection="1">
      <alignment horizontal="center" vertical="center"/>
    </xf>
    <xf numFmtId="0" fontId="4" fillId="4" borderId="31" xfId="0" applyFont="1" applyFill="1" applyBorder="1" applyAlignment="1" applyProtection="1">
      <alignment horizontal="center" vertical="center"/>
    </xf>
    <xf numFmtId="171" fontId="4" fillId="0" borderId="38" xfId="0" applyNumberFormat="1" applyFont="1" applyBorder="1" applyAlignment="1" applyProtection="1">
      <alignment horizontal="center" vertical="center"/>
    </xf>
    <xf numFmtId="171" fontId="4" fillId="4" borderId="51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Protection="1"/>
    <xf numFmtId="0" fontId="4" fillId="5" borderId="41" xfId="0" applyFont="1" applyFill="1" applyBorder="1" applyAlignment="1" applyProtection="1">
      <alignment horizontal="center" vertical="center"/>
      <protection locked="0"/>
    </xf>
    <xf numFmtId="176" fontId="4" fillId="5" borderId="41" xfId="0" applyNumberFormat="1" applyFont="1" applyFill="1" applyBorder="1" applyAlignment="1" applyProtection="1">
      <alignment horizontal="center" vertical="center"/>
      <protection locked="0"/>
    </xf>
    <xf numFmtId="0" fontId="4" fillId="5" borderId="42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5A156"/>
      <color rgb="FFEC9D63"/>
      <color rgb="FFDD5644"/>
      <color rgb="FFFFB9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gtanf.com/forum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352436</xdr:colOff>
      <xdr:row>2</xdr:row>
      <xdr:rowOff>323850</xdr:rowOff>
    </xdr:from>
    <xdr:to>
      <xdr:col>2</xdr:col>
      <xdr:colOff>1962532</xdr:colOff>
      <xdr:row>2</xdr:row>
      <xdr:rowOff>1547850</xdr:rowOff>
    </xdr:to>
    <xdr:pic>
      <xdr:nvPicPr>
        <xdr:cNvPr id="2" name="Image 1" descr="GTA Network France, les forum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2F91B6-C351-4CD2-9776-1D3F9EB09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36" y="514350"/>
          <a:ext cx="2372096" cy="12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2</xdr:row>
      <xdr:rowOff>57150</xdr:rowOff>
    </xdr:from>
    <xdr:to>
      <xdr:col>1</xdr:col>
      <xdr:colOff>419099</xdr:colOff>
      <xdr:row>2</xdr:row>
      <xdr:rowOff>438149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BD5B64-5F87-4830-A99C-AF71DAB8C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247650"/>
          <a:ext cx="380999" cy="380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workbookViewId="0">
      <selection activeCell="K15" sqref="K15"/>
    </sheetView>
  </sheetViews>
  <sheetFormatPr baseColWidth="10" defaultColWidth="11.42578125" defaultRowHeight="15" x14ac:dyDescent="0.25"/>
  <cols>
    <col min="1" max="1" width="3.42578125" style="153" customWidth="1"/>
    <col min="2" max="2" width="11.42578125" style="153"/>
    <col min="3" max="3" width="30.7109375" style="153" customWidth="1"/>
    <col min="4" max="5" width="7.7109375" style="153" customWidth="1"/>
    <col min="6" max="6" width="11.7109375" style="153" customWidth="1"/>
    <col min="7" max="9" width="7.7109375" style="153" customWidth="1"/>
    <col min="10" max="10" width="11.7109375" style="153" customWidth="1"/>
    <col min="11" max="11" width="27" style="153" bestFit="1" customWidth="1"/>
    <col min="12" max="12" width="14.28515625" style="153" customWidth="1"/>
    <col min="13" max="15" width="7.7109375" style="153" customWidth="1"/>
    <col min="16" max="16" width="14" style="153" customWidth="1"/>
    <col min="17" max="17" width="14.28515625" style="153" customWidth="1"/>
    <col min="18" max="18" width="31.7109375" style="153" hidden="1" customWidth="1"/>
    <col min="19" max="19" width="3.5703125" style="153" customWidth="1"/>
    <col min="20" max="16384" width="11.42578125" style="153"/>
  </cols>
  <sheetData>
    <row r="1" spans="1:23" x14ac:dyDescent="0.25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</row>
    <row r="2" spans="1:23" ht="24.75" customHeight="1" x14ac:dyDescent="0.25">
      <c r="A2" s="152"/>
      <c r="B2" s="152"/>
      <c r="C2" s="152"/>
      <c r="D2" s="154" t="s">
        <v>440</v>
      </c>
      <c r="E2" s="155"/>
      <c r="F2" s="155"/>
      <c r="G2" s="155"/>
      <c r="H2" s="155"/>
      <c r="I2" s="155"/>
      <c r="J2" s="155"/>
      <c r="K2" s="156"/>
      <c r="L2" s="154" t="s">
        <v>24</v>
      </c>
      <c r="M2" s="155"/>
      <c r="N2" s="155"/>
      <c r="O2" s="155"/>
      <c r="P2" s="155"/>
      <c r="Q2" s="156"/>
      <c r="R2" s="157"/>
      <c r="S2" s="152"/>
    </row>
    <row r="3" spans="1:23" ht="135" customHeight="1" x14ac:dyDescent="0.25">
      <c r="A3" s="152"/>
      <c r="B3" s="158"/>
      <c r="C3" s="158"/>
      <c r="D3" s="159" t="s">
        <v>82</v>
      </c>
      <c r="E3" s="159" t="s">
        <v>407</v>
      </c>
      <c r="F3" s="159" t="s">
        <v>408</v>
      </c>
      <c r="G3" s="160" t="s">
        <v>421</v>
      </c>
      <c r="H3" s="159" t="s">
        <v>389</v>
      </c>
      <c r="I3" s="160" t="s">
        <v>419</v>
      </c>
      <c r="J3" s="160" t="s">
        <v>415</v>
      </c>
      <c r="K3" s="161" t="s">
        <v>442</v>
      </c>
      <c r="L3" s="162" t="s">
        <v>207</v>
      </c>
      <c r="M3" s="163" t="s">
        <v>459</v>
      </c>
      <c r="N3" s="164" t="s">
        <v>455</v>
      </c>
      <c r="O3" s="164" t="s">
        <v>430</v>
      </c>
      <c r="P3" s="163" t="s">
        <v>432</v>
      </c>
      <c r="Q3" s="163" t="s">
        <v>462</v>
      </c>
      <c r="R3" s="165" t="s">
        <v>416</v>
      </c>
      <c r="S3" s="152"/>
    </row>
    <row r="4" spans="1:23" ht="20.100000000000001" customHeight="1" x14ac:dyDescent="0.25">
      <c r="A4" s="152"/>
      <c r="B4" s="166" t="s">
        <v>138</v>
      </c>
      <c r="C4" s="167" t="s">
        <v>83</v>
      </c>
      <c r="D4" s="137">
        <v>1</v>
      </c>
      <c r="E4" s="139">
        <v>1</v>
      </c>
      <c r="F4" s="109">
        <v>0</v>
      </c>
      <c r="G4" s="103">
        <v>1</v>
      </c>
      <c r="H4" s="168">
        <v>1</v>
      </c>
      <c r="I4" s="89">
        <v>1</v>
      </c>
      <c r="J4" s="107">
        <v>0</v>
      </c>
      <c r="K4" s="127" t="s">
        <v>444</v>
      </c>
      <c r="L4" s="169">
        <f>Bikers!B14</f>
        <v>36000</v>
      </c>
      <c r="M4" s="170" t="s">
        <v>423</v>
      </c>
      <c r="N4" s="124" t="str">
        <f>IF(G4=1,"-",Bikers!B13)</f>
        <v>-</v>
      </c>
      <c r="O4" s="171">
        <f>Bikers!B11</f>
        <v>25</v>
      </c>
      <c r="P4" s="172">
        <f>Bikers!B17</f>
        <v>10536.58536585366</v>
      </c>
      <c r="Q4" s="173">
        <f>Bikers!B19</f>
        <v>86400</v>
      </c>
      <c r="R4" s="174" t="s">
        <v>445</v>
      </c>
      <c r="S4" s="175"/>
      <c r="V4" s="176"/>
    </row>
    <row r="5" spans="1:23" ht="20.100000000000001" customHeight="1" x14ac:dyDescent="0.25">
      <c r="A5" s="152"/>
      <c r="B5" s="177"/>
      <c r="C5" s="167" t="s">
        <v>463</v>
      </c>
      <c r="D5" s="138"/>
      <c r="E5" s="140"/>
      <c r="F5" s="110">
        <v>0</v>
      </c>
      <c r="G5" s="104">
        <v>1</v>
      </c>
      <c r="H5" s="178">
        <v>1</v>
      </c>
      <c r="I5" s="89">
        <v>1</v>
      </c>
      <c r="J5" s="108">
        <v>0</v>
      </c>
      <c r="K5" s="127" t="s">
        <v>444</v>
      </c>
      <c r="L5" s="179">
        <f>Bikers!C14</f>
        <v>132000</v>
      </c>
      <c r="M5" s="120" t="s">
        <v>426</v>
      </c>
      <c r="N5" s="124" t="str">
        <f>IF(G5=1,"-",Bikers!C13)</f>
        <v>-</v>
      </c>
      <c r="O5" s="180">
        <f>Bikers!C11</f>
        <v>25</v>
      </c>
      <c r="P5" s="181">
        <f>Bikers!C17</f>
        <v>22956.521739130436</v>
      </c>
      <c r="Q5" s="173">
        <f>Bikers!C19</f>
        <v>316800</v>
      </c>
      <c r="R5" s="174" t="s">
        <v>445</v>
      </c>
      <c r="S5" s="175"/>
    </row>
    <row r="6" spans="1:23" ht="20.100000000000001" customHeight="1" x14ac:dyDescent="0.25">
      <c r="A6" s="152"/>
      <c r="B6" s="177"/>
      <c r="C6" s="167" t="s">
        <v>85</v>
      </c>
      <c r="D6" s="138"/>
      <c r="E6" s="140"/>
      <c r="F6" s="110">
        <v>0</v>
      </c>
      <c r="G6" s="104">
        <v>1</v>
      </c>
      <c r="H6" s="178">
        <v>1</v>
      </c>
      <c r="I6" s="89">
        <v>1</v>
      </c>
      <c r="J6" s="108">
        <v>1</v>
      </c>
      <c r="K6" s="127" t="s">
        <v>444</v>
      </c>
      <c r="L6" s="179">
        <f>Bikers!D14</f>
        <v>144000</v>
      </c>
      <c r="M6" s="120" t="s">
        <v>426</v>
      </c>
      <c r="N6" s="124" t="str">
        <f>IF(G6=1,"-",Bikers!D13)</f>
        <v>-</v>
      </c>
      <c r="O6" s="180">
        <f>Bikers!D11</f>
        <v>25</v>
      </c>
      <c r="P6" s="181">
        <f>Bikers!D17</f>
        <v>25043.478260869564</v>
      </c>
      <c r="Q6" s="173">
        <f>Bikers!D19</f>
        <v>345600</v>
      </c>
      <c r="R6" s="174" t="s">
        <v>445</v>
      </c>
      <c r="S6" s="175"/>
    </row>
    <row r="7" spans="1:23" ht="20.100000000000001" customHeight="1" x14ac:dyDescent="0.25">
      <c r="A7" s="152"/>
      <c r="B7" s="177"/>
      <c r="C7" s="167" t="s">
        <v>86</v>
      </c>
      <c r="D7" s="138"/>
      <c r="E7" s="140"/>
      <c r="F7" s="110">
        <v>0</v>
      </c>
      <c r="G7" s="104">
        <v>1</v>
      </c>
      <c r="H7" s="178">
        <v>1</v>
      </c>
      <c r="I7" s="89">
        <v>1</v>
      </c>
      <c r="J7" s="108">
        <v>1</v>
      </c>
      <c r="K7" s="127" t="s">
        <v>444</v>
      </c>
      <c r="L7" s="179">
        <f>Bikers!E14</f>
        <v>177000</v>
      </c>
      <c r="M7" s="120" t="s">
        <v>424</v>
      </c>
      <c r="N7" s="124" t="str">
        <f>IF(G7=1,"-",Bikers!E13)</f>
        <v>-</v>
      </c>
      <c r="O7" s="180">
        <f>Bikers!E11</f>
        <v>25</v>
      </c>
      <c r="P7" s="181">
        <f>Bikers!E17</f>
        <v>27584.415584415583</v>
      </c>
      <c r="Q7" s="181">
        <f>Bikers!E19</f>
        <v>424800</v>
      </c>
      <c r="R7" s="174" t="s">
        <v>445</v>
      </c>
      <c r="S7" s="175"/>
    </row>
    <row r="8" spans="1:23" ht="20.100000000000001" customHeight="1" x14ac:dyDescent="0.25">
      <c r="A8" s="152"/>
      <c r="B8" s="177"/>
      <c r="C8" s="167" t="s">
        <v>87</v>
      </c>
      <c r="D8" s="138"/>
      <c r="E8" s="140"/>
      <c r="F8" s="110">
        <v>0</v>
      </c>
      <c r="G8" s="104">
        <v>1</v>
      </c>
      <c r="H8" s="178">
        <v>1</v>
      </c>
      <c r="I8" s="89">
        <v>1</v>
      </c>
      <c r="J8" s="108">
        <v>1</v>
      </c>
      <c r="K8" s="127" t="s">
        <v>444</v>
      </c>
      <c r="L8" s="179">
        <f>Bikers!F14</f>
        <v>232500</v>
      </c>
      <c r="M8" s="120" t="s">
        <v>425</v>
      </c>
      <c r="N8" s="124" t="str">
        <f>IF(G8=1,"-",Bikers!F13)</f>
        <v>-</v>
      </c>
      <c r="O8" s="180">
        <f>Bikers!F11</f>
        <v>25</v>
      </c>
      <c r="P8" s="181">
        <f>Bikers!F17</f>
        <v>42923.076923076922</v>
      </c>
      <c r="Q8" s="181">
        <f>Bikers!F19</f>
        <v>558000</v>
      </c>
      <c r="R8" s="174" t="s">
        <v>445</v>
      </c>
      <c r="S8" s="175"/>
    </row>
    <row r="9" spans="1:23" ht="20.100000000000001" customHeight="1" x14ac:dyDescent="0.25">
      <c r="A9" s="152"/>
      <c r="B9" s="177"/>
      <c r="C9" s="167" t="s">
        <v>88</v>
      </c>
      <c r="D9" s="135">
        <v>1</v>
      </c>
      <c r="E9" s="136">
        <v>1</v>
      </c>
      <c r="F9" s="110">
        <v>9400</v>
      </c>
      <c r="G9" s="104">
        <v>1</v>
      </c>
      <c r="H9" s="178">
        <v>1</v>
      </c>
      <c r="I9" s="89">
        <v>1</v>
      </c>
      <c r="J9" s="108">
        <v>1</v>
      </c>
      <c r="K9" s="127" t="s">
        <v>483</v>
      </c>
      <c r="L9" s="179">
        <f>Bunker!B10</f>
        <v>537916.66666666663</v>
      </c>
      <c r="M9" s="120" t="s">
        <v>427</v>
      </c>
      <c r="N9" s="124" t="str">
        <f>IF(G9=1,"-",Bunker!B14)</f>
        <v>-</v>
      </c>
      <c r="O9" s="180">
        <f>Bunker!B8</f>
        <v>30</v>
      </c>
      <c r="P9" s="181">
        <f>Bunker!B15</f>
        <v>44212.328767123283</v>
      </c>
      <c r="Q9" s="182">
        <f>Bunker!B17</f>
        <v>1075833.3333333333</v>
      </c>
      <c r="R9" s="174" t="s">
        <v>445</v>
      </c>
      <c r="S9" s="175"/>
      <c r="U9" s="183"/>
      <c r="W9" s="184"/>
    </row>
    <row r="10" spans="1:23" ht="20.100000000000001" customHeight="1" x14ac:dyDescent="0.25">
      <c r="A10" s="152"/>
      <c r="B10" s="185"/>
      <c r="C10" s="167" t="s">
        <v>89</v>
      </c>
      <c r="D10" s="100">
        <v>1</v>
      </c>
      <c r="E10" s="105">
        <v>1</v>
      </c>
      <c r="F10" s="111">
        <v>2000</v>
      </c>
      <c r="G10" s="186" t="s">
        <v>107</v>
      </c>
      <c r="H10" s="187" t="s">
        <v>107</v>
      </c>
      <c r="I10" s="89">
        <v>1</v>
      </c>
      <c r="J10" s="112">
        <v>10000</v>
      </c>
      <c r="K10" s="188" t="s">
        <v>107</v>
      </c>
      <c r="L10" s="189">
        <f>Nightclub!B19</f>
        <v>948285.71428571432</v>
      </c>
      <c r="M10" s="190">
        <f>ROUND(Nightclub!B18,1)</f>
        <v>20</v>
      </c>
      <c r="N10" s="190" t="s">
        <v>107</v>
      </c>
      <c r="O10" s="191">
        <f>Nightclub!B17</f>
        <v>15</v>
      </c>
      <c r="P10" s="192">
        <f>Nightclub!B20</f>
        <v>47414.285714285717</v>
      </c>
      <c r="Q10" s="193">
        <f>Nightclub!B23</f>
        <v>3793142.8571428573</v>
      </c>
      <c r="R10" s="194" t="s">
        <v>446</v>
      </c>
      <c r="S10" s="175"/>
    </row>
    <row r="11" spans="1:23" ht="5.25" customHeight="1" x14ac:dyDescent="0.25">
      <c r="A11" s="152"/>
      <c r="B11" s="158"/>
      <c r="C11" s="195"/>
      <c r="D11" s="196"/>
      <c r="E11" s="197"/>
      <c r="F11" s="198"/>
      <c r="G11" s="199"/>
      <c r="H11" s="200"/>
      <c r="I11" s="200"/>
      <c r="J11" s="201"/>
      <c r="K11" s="201"/>
      <c r="L11" s="118"/>
      <c r="M11" s="118"/>
      <c r="N11" s="118"/>
      <c r="O11" s="202"/>
      <c r="P11" s="203"/>
      <c r="Q11" s="204"/>
      <c r="R11" s="202"/>
      <c r="S11" s="175"/>
    </row>
    <row r="12" spans="1:23" ht="20.100000000000001" customHeight="1" x14ac:dyDescent="0.25">
      <c r="A12" s="152"/>
      <c r="B12" s="166" t="s">
        <v>140</v>
      </c>
      <c r="C12" s="205" t="s">
        <v>358</v>
      </c>
      <c r="D12" s="134">
        <v>1</v>
      </c>
      <c r="E12" s="206" t="s">
        <v>107</v>
      </c>
      <c r="F12" s="207" t="s">
        <v>107</v>
      </c>
      <c r="G12" s="208" t="s">
        <v>107</v>
      </c>
      <c r="H12" s="102">
        <v>1</v>
      </c>
      <c r="I12" s="209" t="s">
        <v>107</v>
      </c>
      <c r="J12" s="210" t="s">
        <v>107</v>
      </c>
      <c r="K12" s="211" t="s">
        <v>107</v>
      </c>
      <c r="L12" s="212" t="s">
        <v>107</v>
      </c>
      <c r="M12" s="119" t="s">
        <v>107</v>
      </c>
      <c r="N12" s="119" t="s">
        <v>107</v>
      </c>
      <c r="O12" s="213" t="s">
        <v>107</v>
      </c>
      <c r="P12" s="214">
        <f>MAX('Missions de contact'!I2:I107)</f>
        <v>114300</v>
      </c>
      <c r="Q12" s="215">
        <f>P12</f>
        <v>114300</v>
      </c>
      <c r="R12" s="216" t="s">
        <v>447</v>
      </c>
      <c r="S12" s="175"/>
    </row>
    <row r="13" spans="1:23" ht="20.100000000000001" customHeight="1" x14ac:dyDescent="0.25">
      <c r="A13" s="152"/>
      <c r="B13" s="177"/>
      <c r="C13" s="205" t="s">
        <v>141</v>
      </c>
      <c r="D13" s="135">
        <v>1</v>
      </c>
      <c r="E13" s="217" t="s">
        <v>107</v>
      </c>
      <c r="F13" s="218" t="s">
        <v>107</v>
      </c>
      <c r="G13" s="219" t="s">
        <v>107</v>
      </c>
      <c r="H13" s="220">
        <f>VLOOKUP(K13,Heist!A2:G6,7,FALSE)</f>
        <v>4</v>
      </c>
      <c r="I13" s="221" t="s">
        <v>107</v>
      </c>
      <c r="J13" s="222" t="s">
        <v>107</v>
      </c>
      <c r="K13" s="243" t="s">
        <v>154</v>
      </c>
      <c r="L13" s="223" t="s">
        <v>107</v>
      </c>
      <c r="M13" s="120" t="s">
        <v>107</v>
      </c>
      <c r="N13" s="120" t="s">
        <v>107</v>
      </c>
      <c r="O13" s="224" t="s">
        <v>107</v>
      </c>
      <c r="P13" s="181">
        <f>VLOOKUP(K13,Heist!A2:E6,5,FALSE)</f>
        <v>257462.68656716417</v>
      </c>
      <c r="Q13" s="215">
        <f t="shared" ref="Q13:Q15" si="0">P13</f>
        <v>257462.68656716417</v>
      </c>
      <c r="R13" s="225" t="s">
        <v>448</v>
      </c>
      <c r="S13" s="175"/>
    </row>
    <row r="14" spans="1:23" ht="20.100000000000001" customHeight="1" x14ac:dyDescent="0.25">
      <c r="A14" s="152"/>
      <c r="B14" s="177"/>
      <c r="C14" s="226" t="s">
        <v>146</v>
      </c>
      <c r="D14" s="135">
        <v>1</v>
      </c>
      <c r="E14" s="136">
        <v>1</v>
      </c>
      <c r="F14" s="218" t="s">
        <v>107</v>
      </c>
      <c r="G14" s="219">
        <v>1</v>
      </c>
      <c r="H14" s="178">
        <v>1</v>
      </c>
      <c r="I14" s="89">
        <v>1</v>
      </c>
      <c r="J14" s="108">
        <v>1</v>
      </c>
      <c r="K14" s="116" t="s">
        <v>441</v>
      </c>
      <c r="L14" s="223">
        <f>HLOOKUP(P14,PDG!B1:D13,10,FALSE)</f>
        <v>1332000</v>
      </c>
      <c r="M14" s="227">
        <f>HLOOKUP(P14,PDG!B1:D13,12,FALSE)/60</f>
        <v>11.6</v>
      </c>
      <c r="N14" s="227" t="s">
        <v>107</v>
      </c>
      <c r="O14" s="180">
        <f>PDG!B14</f>
        <v>15</v>
      </c>
      <c r="P14" s="181">
        <f>MAX(PDG!B1:D1)</f>
        <v>262278.48101265822</v>
      </c>
      <c r="Q14" s="215">
        <f t="shared" si="0"/>
        <v>262278.48101265822</v>
      </c>
      <c r="R14" s="225" t="s">
        <v>450</v>
      </c>
      <c r="S14" s="175"/>
      <c r="T14" s="228"/>
    </row>
    <row r="15" spans="1:23" ht="20.100000000000001" customHeight="1" x14ac:dyDescent="0.25">
      <c r="A15" s="152"/>
      <c r="B15" s="177"/>
      <c r="C15" s="226" t="s">
        <v>229</v>
      </c>
      <c r="D15" s="135">
        <v>1</v>
      </c>
      <c r="E15" s="217" t="s">
        <v>107</v>
      </c>
      <c r="F15" s="218" t="s">
        <v>107</v>
      </c>
      <c r="G15" s="219" t="s">
        <v>107</v>
      </c>
      <c r="H15" s="89">
        <v>1</v>
      </c>
      <c r="I15" s="221" t="s">
        <v>107</v>
      </c>
      <c r="J15" s="222" t="s">
        <v>107</v>
      </c>
      <c r="K15" s="243" t="s">
        <v>466</v>
      </c>
      <c r="L15" s="223" t="s">
        <v>107</v>
      </c>
      <c r="M15" s="120" t="s">
        <v>107</v>
      </c>
      <c r="N15" s="121" t="s">
        <v>107</v>
      </c>
      <c r="O15" s="224" t="s">
        <v>107</v>
      </c>
      <c r="P15" s="181">
        <f>IF(K15="Gains avec Terrorbyte",HLOOKUP(H15,'Missions VIP'!Z2:AC5,4,FALSE),'Missions VIP'!Z9)</f>
        <v>302179.17675544799</v>
      </c>
      <c r="Q15" s="215">
        <f t="shared" si="0"/>
        <v>302179.17675544799</v>
      </c>
      <c r="R15" s="225" t="s">
        <v>451</v>
      </c>
      <c r="S15" s="175"/>
    </row>
    <row r="16" spans="1:23" ht="20.100000000000001" customHeight="1" x14ac:dyDescent="0.25">
      <c r="A16" s="152"/>
      <c r="B16" s="177"/>
      <c r="C16" s="226" t="s">
        <v>142</v>
      </c>
      <c r="D16" s="135">
        <v>1</v>
      </c>
      <c r="E16" s="217" t="s">
        <v>107</v>
      </c>
      <c r="F16" s="218" t="s">
        <v>107</v>
      </c>
      <c r="G16" s="219" t="s">
        <v>107</v>
      </c>
      <c r="H16" s="178">
        <v>1</v>
      </c>
      <c r="I16" s="89">
        <v>1</v>
      </c>
      <c r="J16" s="222" t="s">
        <v>107</v>
      </c>
      <c r="K16" s="244">
        <v>4000</v>
      </c>
      <c r="L16" s="223">
        <f>HLOOKUP(I16,Import!B1:E10,8,FALSE)</f>
        <v>76000</v>
      </c>
      <c r="M16" s="229">
        <f>HLOOKUP(I16,Import!B1:E10,4,FALSE)</f>
        <v>20</v>
      </c>
      <c r="N16" s="123">
        <f>HLOOKUP(I16,Import!B1:E10,6,FALSE)</f>
        <v>8</v>
      </c>
      <c r="O16" s="230">
        <f>Import!B5</f>
        <v>4</v>
      </c>
      <c r="P16" s="181">
        <f>HLOOKUP(I16,Import!B1:E10,9,FALSE)</f>
        <v>190000</v>
      </c>
      <c r="Q16" s="182">
        <f>HLOOKUP(I16,Import!B1:E11,11,FALSE)</f>
        <v>380000</v>
      </c>
      <c r="R16" s="225" t="s">
        <v>452</v>
      </c>
      <c r="S16" s="175"/>
    </row>
    <row r="17" spans="1:23" ht="20.100000000000001" customHeight="1" x14ac:dyDescent="0.25">
      <c r="A17" s="152"/>
      <c r="B17" s="177"/>
      <c r="C17" s="226" t="s">
        <v>143</v>
      </c>
      <c r="D17" s="135">
        <v>1</v>
      </c>
      <c r="E17" s="136">
        <v>1</v>
      </c>
      <c r="F17" s="231">
        <v>1350</v>
      </c>
      <c r="G17" s="219" t="s">
        <v>107</v>
      </c>
      <c r="H17" s="178">
        <v>1</v>
      </c>
      <c r="I17" s="89">
        <v>3</v>
      </c>
      <c r="J17" s="222" t="s">
        <v>107</v>
      </c>
      <c r="K17" s="232" t="s">
        <v>107</v>
      </c>
      <c r="L17" s="223">
        <f>HLOOKUP(P17,Hangar!B3:G7,4,FALSE)</f>
        <v>662500</v>
      </c>
      <c r="M17" s="227">
        <f>HLOOKUP(P17,Hangar!B3:G7,5,FALSE)/60</f>
        <v>10.25</v>
      </c>
      <c r="N17" s="122" t="s">
        <v>107</v>
      </c>
      <c r="O17" s="180">
        <f>HLOOKUP(I17,Hangar!B15:E16,2,FALSE)</f>
        <v>15</v>
      </c>
      <c r="P17" s="181">
        <f>MAX(Hangar!B3:G3)</f>
        <v>62946.646341463413</v>
      </c>
      <c r="Q17" s="182">
        <f>P17</f>
        <v>62946.646341463413</v>
      </c>
      <c r="R17" s="225" t="s">
        <v>453</v>
      </c>
      <c r="S17" s="175"/>
      <c r="T17" s="228"/>
    </row>
    <row r="18" spans="1:23" ht="20.100000000000001" customHeight="1" x14ac:dyDescent="0.25">
      <c r="A18" s="152"/>
      <c r="B18" s="185"/>
      <c r="C18" s="233" t="s">
        <v>144</v>
      </c>
      <c r="D18" s="100">
        <v>1</v>
      </c>
      <c r="E18" s="234" t="s">
        <v>107</v>
      </c>
      <c r="F18" s="235" t="s">
        <v>107</v>
      </c>
      <c r="G18" s="186" t="s">
        <v>107</v>
      </c>
      <c r="H18" s="101">
        <v>1</v>
      </c>
      <c r="I18" s="236" t="s">
        <v>107</v>
      </c>
      <c r="J18" s="237" t="s">
        <v>107</v>
      </c>
      <c r="K18" s="245" t="s">
        <v>98</v>
      </c>
      <c r="L18" s="238" t="s">
        <v>107</v>
      </c>
      <c r="M18" s="121" t="s">
        <v>107</v>
      </c>
      <c r="N18" s="121" t="s">
        <v>107</v>
      </c>
      <c r="O18" s="239" t="s">
        <v>107</v>
      </c>
      <c r="P18" s="240">
        <f>INDEX(Doomsday!J3:M5,MATCH(K18,Doomsday!A3:A5,0),Rendements!H18)</f>
        <v>301785.71428571426</v>
      </c>
      <c r="Q18" s="241">
        <f>P18</f>
        <v>301785.71428571426</v>
      </c>
      <c r="R18" s="194" t="s">
        <v>449</v>
      </c>
      <c r="S18" s="175"/>
      <c r="W18" s="228"/>
    </row>
    <row r="19" spans="1:23" x14ac:dyDescent="0.25">
      <c r="A19" s="152"/>
      <c r="B19" s="152"/>
      <c r="C19" s="24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</row>
  </sheetData>
  <sheetProtection algorithmName="SHA-512" hashValue="wWsC7X1qTx+KH2vDYU7FqMV6ETOduSyAamXJj+g8//9+ee+C7SLZes3yvzj+1JdGMWJcsr83rfWgUAZKUpxh0Q==" saltValue="qPSTzQ0VZJXtIqyJru94xg==" spinCount="100000" sheet="1" objects="1" scenarios="1" selectLockedCells="1"/>
  <mergeCells count="6">
    <mergeCell ref="L2:Q2"/>
    <mergeCell ref="D4:D8"/>
    <mergeCell ref="E4:E8"/>
    <mergeCell ref="B4:B10"/>
    <mergeCell ref="B12:B18"/>
    <mergeCell ref="D2:K2"/>
  </mergeCells>
  <conditionalFormatting sqref="P4:P10">
    <cfRule type="colorScale" priority="13">
      <colorScale>
        <cfvo type="min"/>
        <cfvo type="max"/>
        <color theme="0"/>
        <color rgb="FF35A156"/>
      </colorScale>
    </cfRule>
  </conditionalFormatting>
  <conditionalFormatting sqref="P12:P18">
    <cfRule type="colorScale" priority="14">
      <colorScale>
        <cfvo type="min"/>
        <cfvo type="max"/>
        <color theme="0"/>
        <color rgb="FF35A156"/>
      </colorScale>
    </cfRule>
  </conditionalFormatting>
  <conditionalFormatting sqref="Q4:Q18">
    <cfRule type="colorScale" priority="1">
      <colorScale>
        <cfvo type="min"/>
        <cfvo type="num" val="750000"/>
        <color theme="0"/>
        <color rgb="FF35A156"/>
      </colorScale>
    </cfRule>
  </conditionalFormatting>
  <dataValidations count="15">
    <dataValidation type="list" allowBlank="1" showInputMessage="1" showErrorMessage="1" sqref="G4:G9 J14 J4:J9">
      <formula1>"0,1"</formula1>
    </dataValidation>
    <dataValidation type="list" allowBlank="1" showInputMessage="1" showErrorMessage="1" sqref="D12:D18 D4 D9:D10">
      <formula1>"1,2"</formula1>
    </dataValidation>
    <dataValidation type="list" allowBlank="1" showInputMessage="1" showErrorMessage="1" sqref="F4">
      <formula1>"0,3000"</formula1>
    </dataValidation>
    <dataValidation type="list" allowBlank="1" showInputMessage="1" showErrorMessage="1" sqref="F5">
      <formula1>"0,4800"</formula1>
    </dataValidation>
    <dataValidation type="list" allowBlank="1" showInputMessage="1" showErrorMessage="1" sqref="F6">
      <formula1>"0,6000"</formula1>
    </dataValidation>
    <dataValidation type="list" allowBlank="1" showInputMessage="1" showErrorMessage="1" sqref="F7">
      <formula1>"0,7200"</formula1>
    </dataValidation>
    <dataValidation type="list" allowBlank="1" showInputMessage="1" showErrorMessage="1" sqref="F8">
      <formula1>"0,9000"</formula1>
    </dataValidation>
    <dataValidation type="list" allowBlank="1" showInputMessage="1" showErrorMessage="1" sqref="F9">
      <formula1>"0,9400"</formula1>
    </dataValidation>
    <dataValidation type="list" allowBlank="1" showInputMessage="1" showErrorMessage="1" sqref="F10">
      <formula1>"0,2000"</formula1>
    </dataValidation>
    <dataValidation type="list" allowBlank="1" showInputMessage="1" showErrorMessage="1" sqref="H12">
      <formula1>"1,2,3,4,5,6,7,8"</formula1>
    </dataValidation>
    <dataValidation type="list" allowBlank="1" showInputMessage="1" showErrorMessage="1" sqref="H18 I16">
      <formula1>"1,2,3,4"</formula1>
    </dataValidation>
    <dataValidation type="list" allowBlank="1" showInputMessage="1" showErrorMessage="1" sqref="H15 I17 I14 I4:I8 I10">
      <formula1>"1,2,3,≥4"</formula1>
    </dataValidation>
    <dataValidation type="list" allowBlank="1" showInputMessage="1" showErrorMessage="1" sqref="I9">
      <formula1>"1,2,3,4,5,≥6"</formula1>
    </dataValidation>
    <dataValidation type="list" allowBlank="1" showInputMessage="1" showErrorMessage="1" sqref="E4:E10 E14 E17">
      <mc:AlternateContent xmlns:x12ac="http://schemas.microsoft.com/office/spreadsheetml/2011/1/ac" xmlns:mc="http://schemas.openxmlformats.org/markup-compatibility/2006">
        <mc:Choice Requires="x12ac">
          <x12ac:list>1,"1,01","1,02","1,03","1,04","1,05","1,06","1,07","1,08","1,09","1,1","1,11","1,12","1,13","1,14","1,15","1,16","1,17","1,18","1,19","1,2","1,21","1,22","1,23","1,24","1,25"</x12ac:list>
        </mc:Choice>
        <mc:Fallback>
          <formula1>"1,1,01,1,02,1,03,1,04,1,05,1,06,1,07,1,08,1,09,1,1,1,11,1,12,1,13,1,14,1,15,1,16,1,17,1,18,1,19,1,2,1,21,1,22,1,23,1,24,1,25"</formula1>
        </mc:Fallback>
      </mc:AlternateContent>
    </dataValidation>
    <dataValidation type="whole" allowBlank="1" showInputMessage="1" showErrorMessage="1" sqref="K16">
      <formula1>0</formula1>
      <formula2>100000</formula2>
    </dataValidation>
  </dataValidations>
  <pageMargins left="0.7" right="0.7" top="0.75" bottom="0.75" header="0.3" footer="0.3"/>
  <pageSetup paperSize="9" orientation="portrait" horizontalDpi="1200" verticalDpi="1200" r:id="rId1"/>
  <ignoredErrors>
    <ignoredError sqref="L4:L10 L14:M14 N4:N8 M10" unlockedFormula="1"/>
    <ignoredError sqref="Q16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Heist!$A$2:$A$6</xm:f>
          </x14:formula1>
          <xm:sqref>K13</xm:sqref>
        </x14:dataValidation>
        <x14:dataValidation type="list" allowBlank="1" showInputMessage="1" showErrorMessage="1">
          <x14:formula1>
            <xm:f>Doomsday!$A$3:$A$5</xm:f>
          </x14:formula1>
          <xm:sqref>K18</xm:sqref>
        </x14:dataValidation>
        <x14:dataValidation type="list" allowBlank="1" showInputMessage="1" showErrorMessage="1">
          <x14:formula1>
            <xm:f>PDG!$A$19:$A$20</xm:f>
          </x14:formula1>
          <xm:sqref>K14</xm:sqref>
        </x14:dataValidation>
        <x14:dataValidation type="list" allowBlank="1" showInputMessage="1" showErrorMessage="1">
          <x14:formula1>
            <xm:f>'Missions VIP'!$Y$7:$Y$8</xm:f>
          </x14:formula1>
          <xm:sqref>K15</xm:sqref>
        </x14:dataValidation>
        <x14:dataValidation type="list" allowBlank="1" showInputMessage="1" showErrorMessage="1">
          <x14:formula1>
            <xm:f>Bunker!$E$2:$F$2</xm:f>
          </x14:formula1>
          <xm:sqref>K9</xm:sqref>
        </x14:dataValidation>
        <x14:dataValidation type="list" allowBlank="1" showInputMessage="1" showErrorMessage="1">
          <x14:formula1>
            <xm:f>Bikers!$I$2:$J$2</xm:f>
          </x14:formula1>
          <xm:sqref>K4:K8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activeCell="B23" sqref="B23"/>
    </sheetView>
  </sheetViews>
  <sheetFormatPr baseColWidth="10" defaultRowHeight="15" x14ac:dyDescent="0.25"/>
  <cols>
    <col min="1" max="1" width="24.28515625" bestFit="1" customWidth="1"/>
  </cols>
  <sheetData>
    <row r="1" spans="1:15" x14ac:dyDescent="0.25">
      <c r="A1" t="s">
        <v>90</v>
      </c>
      <c r="B1" t="s">
        <v>91</v>
      </c>
      <c r="F1" t="s">
        <v>92</v>
      </c>
      <c r="I1" s="144" t="s">
        <v>412</v>
      </c>
      <c r="J1" s="144"/>
      <c r="K1" s="144"/>
      <c r="L1" s="144"/>
    </row>
    <row r="2" spans="1:15" x14ac:dyDescent="0.25">
      <c r="A2" t="s">
        <v>93</v>
      </c>
      <c r="B2" s="42" t="s">
        <v>413</v>
      </c>
      <c r="C2">
        <v>2</v>
      </c>
      <c r="D2">
        <v>3</v>
      </c>
      <c r="E2">
        <v>4</v>
      </c>
      <c r="F2" s="42" t="s">
        <v>413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</row>
    <row r="3" spans="1:15" x14ac:dyDescent="0.25">
      <c r="A3" t="s">
        <v>98</v>
      </c>
      <c r="B3" s="3">
        <f>(-B10+D10*E10*B14)/B26*60</f>
        <v>388839.28571428568</v>
      </c>
      <c r="C3" s="3">
        <f>(-B10+D10*F10*B14)/C26*60</f>
        <v>367391.30434782605</v>
      </c>
      <c r="D3" s="3">
        <f>(-B10+D10*G10*B14)/D26*60</f>
        <v>325000</v>
      </c>
      <c r="E3" s="3">
        <f>(-B10+D10*H10*B14)/E26*60</f>
        <v>300000</v>
      </c>
      <c r="F3" s="3">
        <f>(3*C10+D10*(1-E10))*B14/B26*60</f>
        <v>214732.14285714287</v>
      </c>
      <c r="G3" s="3">
        <f>(3*C10+D10*(1-F10))*B14/C26*60</f>
        <v>367391.30434782605</v>
      </c>
      <c r="H3" s="3">
        <f>(3*C10+D10*(1-G10)/2)*B14/D26*60</f>
        <v>286309.52380952379</v>
      </c>
      <c r="I3" s="3">
        <f>(3*C10+D10*(1-H10)/3)*B14/E26*60</f>
        <v>300000</v>
      </c>
      <c r="J3" s="3">
        <f>(B3+F3)/2</f>
        <v>301785.71428571426</v>
      </c>
      <c r="K3" s="3">
        <f t="shared" ref="K3:M5" si="0">(C3+(C$2-1)*G3)/G$2</f>
        <v>367391.30434782605</v>
      </c>
      <c r="L3" s="3">
        <f t="shared" si="0"/>
        <v>299206.34920634917</v>
      </c>
      <c r="M3" s="3">
        <f t="shared" si="0"/>
        <v>300000</v>
      </c>
      <c r="O3" s="3"/>
    </row>
    <row r="4" spans="1:15" x14ac:dyDescent="0.25">
      <c r="A4" t="s">
        <v>99</v>
      </c>
      <c r="B4" s="3">
        <f>(-B11+D11*E11*B14)/B39*60</f>
        <v>326969.17808219179</v>
      </c>
      <c r="C4" s="3">
        <f>(-B11+D11*F11*B14)/C39*60</f>
        <v>282824.42748091603</v>
      </c>
      <c r="D4" s="3">
        <f>(-B11+D11*G11*B14)/D39*60</f>
        <v>241330.6451612903</v>
      </c>
      <c r="E4" s="3">
        <f>(-B11+D11*H11*B14)/E39*60</f>
        <v>196551.72413793104</v>
      </c>
      <c r="F4" s="3">
        <f>(4*C11+D11*(1-E11))*B14/B39*60</f>
        <v>180573.28767123289</v>
      </c>
      <c r="G4" s="3">
        <f>(4*C11+D11*(1-F11))*B14/C39*60</f>
        <v>282833.58778625954</v>
      </c>
      <c r="H4" s="3">
        <f>(4*C11+D11*(1-G11)/2)*B14/D39*60</f>
        <v>212610.48387096776</v>
      </c>
      <c r="I4" s="3">
        <f>(4*C11+D11*(1-H11)/3)*B14/E39*60</f>
        <v>196562.06896551722</v>
      </c>
      <c r="J4" s="3">
        <f t="shared" ref="J4:J5" si="1">(B4+F4)/2</f>
        <v>253771.23287671234</v>
      </c>
      <c r="K4" s="3">
        <f t="shared" si="0"/>
        <v>282829.00763358781</v>
      </c>
      <c r="L4" s="3">
        <f t="shared" si="0"/>
        <v>222183.87096774194</v>
      </c>
      <c r="M4" s="3">
        <f t="shared" si="0"/>
        <v>196559.48275862067</v>
      </c>
      <c r="O4" s="3"/>
    </row>
    <row r="5" spans="1:15" x14ac:dyDescent="0.25">
      <c r="A5" t="s">
        <v>100</v>
      </c>
      <c r="B5" s="3">
        <f>(-B12+D12*E12*B14)/B54*60</f>
        <v>342331.28834355832</v>
      </c>
      <c r="C5" s="3">
        <f>(-B12+D12*F12*B14)/C54*60</f>
        <v>294339.6226415094</v>
      </c>
      <c r="D5" s="3">
        <f>(-B12+D12*G12*B14)/D54*60</f>
        <v>253691.27516778524</v>
      </c>
      <c r="E5" s="3">
        <f>(-B12+D12*H12*B14)/E54*60</f>
        <v>207194.24460431654</v>
      </c>
      <c r="F5" s="3">
        <f>(5*C12+D12*(1-E12))*B14/B54*60</f>
        <v>248466.25766871165</v>
      </c>
      <c r="G5" s="3">
        <f>(5*C12+D12*(1-F12))*B14/C54*60</f>
        <v>311320.75471698114</v>
      </c>
      <c r="H5" s="3">
        <f>(5*C12+D12*(1-G12)/2)*B14/D54*60</f>
        <v>241610.73825503356</v>
      </c>
      <c r="I5" s="3">
        <f>(5*C12+D12*(1-H12)/3)*B14/E54*60</f>
        <v>226618.70503597122</v>
      </c>
      <c r="J5" s="3">
        <f t="shared" si="1"/>
        <v>295398.77300613502</v>
      </c>
      <c r="K5" s="3">
        <f t="shared" si="0"/>
        <v>302830.1886792453</v>
      </c>
      <c r="L5" s="3">
        <f t="shared" si="0"/>
        <v>245637.58389261746</v>
      </c>
      <c r="M5" s="3">
        <f t="shared" si="0"/>
        <v>221762.58992805754</v>
      </c>
      <c r="O5" s="3"/>
    </row>
    <row r="6" spans="1:1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O6" s="3"/>
    </row>
    <row r="7" spans="1:15" x14ac:dyDescent="0.25">
      <c r="O7" s="3"/>
    </row>
    <row r="8" spans="1:15" x14ac:dyDescent="0.25">
      <c r="O8" s="3"/>
    </row>
    <row r="9" spans="1:15" x14ac:dyDescent="0.25">
      <c r="B9" t="s">
        <v>132</v>
      </c>
      <c r="C9" t="s">
        <v>133</v>
      </c>
      <c r="D9" t="s">
        <v>134</v>
      </c>
      <c r="E9" t="s">
        <v>414</v>
      </c>
      <c r="F9" t="s">
        <v>135</v>
      </c>
      <c r="G9" t="s">
        <v>136</v>
      </c>
      <c r="H9" t="s">
        <v>137</v>
      </c>
      <c r="O9" s="3"/>
    </row>
    <row r="10" spans="1:15" x14ac:dyDescent="0.25">
      <c r="A10" t="s">
        <v>98</v>
      </c>
      <c r="B10">
        <v>65000</v>
      </c>
      <c r="C10">
        <v>32500</v>
      </c>
      <c r="D10">
        <v>812500</v>
      </c>
      <c r="E10" s="10">
        <v>0.75</v>
      </c>
      <c r="F10" s="10">
        <v>0.6</v>
      </c>
      <c r="G10" s="10">
        <v>0.5</v>
      </c>
      <c r="H10" s="10">
        <v>0.4</v>
      </c>
      <c r="O10" s="3"/>
    </row>
    <row r="11" spans="1:15" x14ac:dyDescent="0.25">
      <c r="A11" t="s">
        <v>99</v>
      </c>
      <c r="B11">
        <v>95000</v>
      </c>
      <c r="C11">
        <v>35630</v>
      </c>
      <c r="D11">
        <v>1187500</v>
      </c>
      <c r="E11" s="10">
        <v>0.75</v>
      </c>
      <c r="F11" s="10">
        <v>0.6</v>
      </c>
      <c r="G11" s="10">
        <v>0.5</v>
      </c>
      <c r="H11" s="10">
        <v>0.4</v>
      </c>
      <c r="O11" s="3"/>
    </row>
    <row r="12" spans="1:15" x14ac:dyDescent="0.25">
      <c r="A12" t="s">
        <v>100</v>
      </c>
      <c r="B12">
        <v>120000</v>
      </c>
      <c r="C12">
        <v>45000</v>
      </c>
      <c r="D12">
        <v>1500000</v>
      </c>
      <c r="E12" s="10">
        <v>0.7</v>
      </c>
      <c r="F12" s="10">
        <v>0.6</v>
      </c>
      <c r="G12" s="10">
        <v>0.5</v>
      </c>
      <c r="H12" s="10">
        <v>0.4</v>
      </c>
      <c r="O12" s="3"/>
    </row>
    <row r="13" spans="1:15" x14ac:dyDescent="0.2">
      <c r="E13" s="10"/>
      <c r="F13" s="10"/>
      <c r="G13" s="10"/>
      <c r="O13" s="3"/>
    </row>
    <row r="14" spans="1:15" x14ac:dyDescent="0.2">
      <c r="A14" t="s">
        <v>139</v>
      </c>
      <c r="B14" s="114">
        <v>1</v>
      </c>
      <c r="E14" s="10"/>
      <c r="F14" s="10"/>
      <c r="G14" s="10"/>
      <c r="O14" s="3"/>
    </row>
    <row r="16" spans="1:15" x14ac:dyDescent="0.25">
      <c r="A16" s="144" t="s">
        <v>101</v>
      </c>
      <c r="B16" s="144"/>
      <c r="C16" s="144"/>
      <c r="D16" s="144"/>
      <c r="E16" s="144"/>
    </row>
    <row r="17" spans="1:5" x14ac:dyDescent="0.2">
      <c r="A17" t="s">
        <v>102</v>
      </c>
      <c r="B17" t="s">
        <v>94</v>
      </c>
      <c r="C17" t="s">
        <v>95</v>
      </c>
      <c r="D17" t="s">
        <v>96</v>
      </c>
      <c r="E17" t="s">
        <v>97</v>
      </c>
    </row>
    <row r="18" spans="1:5" x14ac:dyDescent="0.2">
      <c r="A18" t="s">
        <v>98</v>
      </c>
    </row>
    <row r="19" spans="1:5" x14ac:dyDescent="0.25">
      <c r="A19" t="s">
        <v>103</v>
      </c>
      <c r="B19" s="1">
        <v>2</v>
      </c>
      <c r="C19" s="1">
        <v>2</v>
      </c>
      <c r="D19" s="1">
        <v>2</v>
      </c>
      <c r="E19" s="1">
        <v>2</v>
      </c>
    </row>
    <row r="20" spans="1:5" x14ac:dyDescent="0.25">
      <c r="A20" t="s">
        <v>104</v>
      </c>
      <c r="B20" s="1">
        <v>22</v>
      </c>
      <c r="C20" s="1">
        <v>12</v>
      </c>
      <c r="D20" s="1">
        <v>12</v>
      </c>
      <c r="E20" s="1">
        <v>6</v>
      </c>
    </row>
    <row r="21" spans="1:5" x14ac:dyDescent="0.25">
      <c r="A21" t="s">
        <v>105</v>
      </c>
      <c r="B21" s="1">
        <v>12</v>
      </c>
      <c r="C21" s="1">
        <v>7</v>
      </c>
      <c r="D21" s="1">
        <v>6</v>
      </c>
      <c r="E21" s="1">
        <v>5</v>
      </c>
    </row>
    <row r="22" spans="1:5" x14ac:dyDescent="0.25">
      <c r="A22" t="s">
        <v>106</v>
      </c>
      <c r="B22" t="s">
        <v>107</v>
      </c>
      <c r="C22" s="1">
        <v>12</v>
      </c>
      <c r="D22" s="1">
        <v>11</v>
      </c>
      <c r="E22" s="1">
        <v>10</v>
      </c>
    </row>
    <row r="23" spans="1:5" x14ac:dyDescent="0.25">
      <c r="A23" t="s">
        <v>108</v>
      </c>
      <c r="B23" t="s">
        <v>107</v>
      </c>
      <c r="C23" s="1">
        <v>12</v>
      </c>
      <c r="D23" s="1">
        <v>11</v>
      </c>
      <c r="E23" s="1">
        <v>10</v>
      </c>
    </row>
    <row r="24" spans="1:5" x14ac:dyDescent="0.25">
      <c r="A24" t="s">
        <v>109</v>
      </c>
      <c r="B24" t="s">
        <v>107</v>
      </c>
      <c r="C24" s="1">
        <v>15</v>
      </c>
      <c r="D24" s="1">
        <v>14</v>
      </c>
      <c r="E24" s="1">
        <v>12</v>
      </c>
    </row>
    <row r="25" spans="1:5" x14ac:dyDescent="0.25">
      <c r="A25" t="s">
        <v>110</v>
      </c>
      <c r="B25" t="s">
        <v>107</v>
      </c>
      <c r="C25" s="1">
        <v>9</v>
      </c>
      <c r="D25" s="1">
        <v>7</v>
      </c>
      <c r="E25" s="1">
        <v>7</v>
      </c>
    </row>
    <row r="26" spans="1:5" x14ac:dyDescent="0.25">
      <c r="A26" t="s">
        <v>111</v>
      </c>
      <c r="B26">
        <f>SUM(B19:B21,C22:C25)</f>
        <v>84</v>
      </c>
      <c r="C26">
        <f>SUM(C19:C25)</f>
        <v>69</v>
      </c>
      <c r="D26">
        <f t="shared" ref="D26:E26" si="2">SUM(D19:D25)</f>
        <v>63</v>
      </c>
      <c r="E26">
        <f t="shared" si="2"/>
        <v>52</v>
      </c>
    </row>
    <row r="28" spans="1:5" x14ac:dyDescent="0.25">
      <c r="A28" t="s">
        <v>99</v>
      </c>
    </row>
    <row r="29" spans="1:5" x14ac:dyDescent="0.25">
      <c r="A29" t="s">
        <v>112</v>
      </c>
      <c r="B29" s="1">
        <v>9</v>
      </c>
      <c r="C29" s="1">
        <v>9</v>
      </c>
      <c r="D29" s="1">
        <v>9</v>
      </c>
      <c r="E29" s="1">
        <v>9</v>
      </c>
    </row>
    <row r="30" spans="1:5" x14ac:dyDescent="0.25">
      <c r="A30" t="s">
        <v>113</v>
      </c>
      <c r="B30" s="1">
        <v>8</v>
      </c>
      <c r="C30" s="1">
        <v>8</v>
      </c>
      <c r="D30" s="1">
        <v>7</v>
      </c>
      <c r="E30" s="1">
        <v>7</v>
      </c>
    </row>
    <row r="31" spans="1:5" x14ac:dyDescent="0.25">
      <c r="A31" t="s">
        <v>114</v>
      </c>
      <c r="B31" s="1">
        <v>8</v>
      </c>
      <c r="C31" s="1">
        <v>8</v>
      </c>
      <c r="D31" s="1">
        <v>8</v>
      </c>
      <c r="E31" s="1">
        <v>8</v>
      </c>
    </row>
    <row r="32" spans="1:5" x14ac:dyDescent="0.25">
      <c r="A32" t="s">
        <v>115</v>
      </c>
      <c r="B32" s="1">
        <v>25</v>
      </c>
      <c r="C32" s="1">
        <v>14</v>
      </c>
      <c r="D32" s="1">
        <v>13</v>
      </c>
      <c r="E32" s="1">
        <v>10</v>
      </c>
    </row>
    <row r="33" spans="1:5" x14ac:dyDescent="0.25">
      <c r="A33" t="s">
        <v>116</v>
      </c>
      <c r="B33" s="1">
        <v>10</v>
      </c>
      <c r="C33" s="1">
        <v>6</v>
      </c>
      <c r="D33" s="1">
        <v>6</v>
      </c>
      <c r="E33" s="1">
        <v>6</v>
      </c>
    </row>
    <row r="34" spans="1:5" x14ac:dyDescent="0.25">
      <c r="A34" t="s">
        <v>117</v>
      </c>
      <c r="B34" t="s">
        <v>107</v>
      </c>
      <c r="C34" s="1">
        <v>12</v>
      </c>
      <c r="D34" s="1">
        <v>11</v>
      </c>
      <c r="E34" s="1">
        <v>10</v>
      </c>
    </row>
    <row r="35" spans="1:5" x14ac:dyDescent="0.25">
      <c r="A35" t="s">
        <v>118</v>
      </c>
      <c r="B35" t="s">
        <v>107</v>
      </c>
      <c r="C35" s="1">
        <v>16</v>
      </c>
      <c r="D35" s="1">
        <v>14</v>
      </c>
      <c r="E35" s="1">
        <v>13</v>
      </c>
    </row>
    <row r="36" spans="1:5" x14ac:dyDescent="0.25">
      <c r="A36" t="s">
        <v>119</v>
      </c>
      <c r="B36" t="s">
        <v>107</v>
      </c>
      <c r="C36" s="1">
        <v>23</v>
      </c>
      <c r="D36" s="1">
        <v>22</v>
      </c>
      <c r="E36" s="1">
        <v>21</v>
      </c>
    </row>
    <row r="37" spans="1:5" x14ac:dyDescent="0.25">
      <c r="A37" t="s">
        <v>120</v>
      </c>
      <c r="B37" t="s">
        <v>107</v>
      </c>
      <c r="C37" s="1">
        <v>15</v>
      </c>
      <c r="D37" s="1">
        <v>15</v>
      </c>
      <c r="E37" s="1">
        <v>13</v>
      </c>
    </row>
    <row r="38" spans="1:5" x14ac:dyDescent="0.25">
      <c r="A38" t="s">
        <v>110</v>
      </c>
      <c r="B38" t="s">
        <v>107</v>
      </c>
      <c r="C38" s="1">
        <v>20</v>
      </c>
      <c r="D38" s="1">
        <v>19</v>
      </c>
      <c r="E38" s="1">
        <v>19</v>
      </c>
    </row>
    <row r="39" spans="1:5" x14ac:dyDescent="0.25">
      <c r="A39" t="s">
        <v>111</v>
      </c>
      <c r="B39">
        <f>SUM(B29:B33,C34:C38)</f>
        <v>146</v>
      </c>
      <c r="C39">
        <f>SUM(C29:C38)</f>
        <v>131</v>
      </c>
      <c r="D39">
        <f t="shared" ref="D39:E39" si="3">SUM(D29:D38)</f>
        <v>124</v>
      </c>
      <c r="E39">
        <f t="shared" si="3"/>
        <v>116</v>
      </c>
    </row>
    <row r="41" spans="1:5" x14ac:dyDescent="0.25">
      <c r="A41" t="s">
        <v>100</v>
      </c>
    </row>
    <row r="42" spans="1:5" x14ac:dyDescent="0.25">
      <c r="A42" t="s">
        <v>121</v>
      </c>
      <c r="B42" s="1">
        <v>5</v>
      </c>
      <c r="C42" s="1">
        <v>5</v>
      </c>
      <c r="D42" s="1">
        <v>5</v>
      </c>
      <c r="E42" s="1">
        <v>5</v>
      </c>
    </row>
    <row r="43" spans="1:5" x14ac:dyDescent="0.25">
      <c r="A43" t="s">
        <v>122</v>
      </c>
      <c r="B43" s="1">
        <v>10</v>
      </c>
      <c r="C43" s="1">
        <v>8</v>
      </c>
      <c r="D43" s="1">
        <v>7</v>
      </c>
      <c r="E43" s="1">
        <v>6</v>
      </c>
    </row>
    <row r="44" spans="1:5" x14ac:dyDescent="0.25">
      <c r="A44" t="s">
        <v>123</v>
      </c>
      <c r="B44" s="1">
        <v>8</v>
      </c>
      <c r="C44" s="1">
        <v>7</v>
      </c>
      <c r="D44" s="1">
        <v>7</v>
      </c>
      <c r="E44" s="1">
        <v>7</v>
      </c>
    </row>
    <row r="45" spans="1:5" x14ac:dyDescent="0.25">
      <c r="A45" t="s">
        <v>124</v>
      </c>
      <c r="B45" s="1">
        <v>5</v>
      </c>
      <c r="C45" s="1">
        <v>5</v>
      </c>
      <c r="D45" s="1">
        <v>5</v>
      </c>
      <c r="E45" s="1">
        <v>5</v>
      </c>
    </row>
    <row r="46" spans="1:5" x14ac:dyDescent="0.25">
      <c r="A46" t="s">
        <v>125</v>
      </c>
      <c r="B46" s="1">
        <v>8</v>
      </c>
      <c r="C46" s="1">
        <v>8</v>
      </c>
      <c r="D46" s="1">
        <v>8</v>
      </c>
      <c r="E46" s="1">
        <v>8</v>
      </c>
    </row>
    <row r="47" spans="1:5" x14ac:dyDescent="0.25">
      <c r="A47" t="s">
        <v>126</v>
      </c>
      <c r="B47" s="1">
        <v>10</v>
      </c>
      <c r="C47" s="1">
        <v>9</v>
      </c>
      <c r="D47" s="1">
        <v>9</v>
      </c>
      <c r="E47" s="1">
        <v>9</v>
      </c>
    </row>
    <row r="48" spans="1:5" x14ac:dyDescent="0.25">
      <c r="A48" t="s">
        <v>127</v>
      </c>
      <c r="B48" t="s">
        <v>107</v>
      </c>
      <c r="C48" s="1">
        <v>15</v>
      </c>
      <c r="D48" s="1">
        <v>14</v>
      </c>
      <c r="E48" s="1">
        <v>13</v>
      </c>
    </row>
    <row r="49" spans="1:5" x14ac:dyDescent="0.25">
      <c r="A49" t="s">
        <v>128</v>
      </c>
      <c r="B49" t="s">
        <v>107</v>
      </c>
      <c r="C49" s="1">
        <v>20</v>
      </c>
      <c r="D49" s="1">
        <v>18</v>
      </c>
      <c r="E49" s="1">
        <v>16</v>
      </c>
    </row>
    <row r="50" spans="1:5" x14ac:dyDescent="0.25">
      <c r="A50" t="s">
        <v>129</v>
      </c>
      <c r="B50" t="s">
        <v>107</v>
      </c>
      <c r="C50" s="1">
        <v>16</v>
      </c>
      <c r="D50" s="1">
        <v>16</v>
      </c>
      <c r="E50" s="1">
        <v>16</v>
      </c>
    </row>
    <row r="51" spans="1:5" x14ac:dyDescent="0.25">
      <c r="A51" t="s">
        <v>130</v>
      </c>
      <c r="B51" t="s">
        <v>107</v>
      </c>
      <c r="C51" s="1">
        <v>15</v>
      </c>
      <c r="D51" s="1">
        <v>14</v>
      </c>
      <c r="E51" s="1">
        <v>13</v>
      </c>
    </row>
    <row r="52" spans="1:5" x14ac:dyDescent="0.25">
      <c r="A52" t="s">
        <v>131</v>
      </c>
      <c r="B52" t="s">
        <v>107</v>
      </c>
      <c r="C52" s="1">
        <v>11</v>
      </c>
      <c r="D52" s="1">
        <v>11</v>
      </c>
      <c r="E52" s="1">
        <v>11</v>
      </c>
    </row>
    <row r="53" spans="1:5" x14ac:dyDescent="0.25">
      <c r="A53" t="s">
        <v>110</v>
      </c>
      <c r="B53" t="s">
        <v>107</v>
      </c>
      <c r="C53" s="1">
        <v>40</v>
      </c>
      <c r="D53" s="1">
        <v>35</v>
      </c>
      <c r="E53" s="1">
        <v>30</v>
      </c>
    </row>
    <row r="54" spans="1:5" x14ac:dyDescent="0.25">
      <c r="A54" t="s">
        <v>111</v>
      </c>
      <c r="B54">
        <f>SUM(B42:B47,C48:C53)</f>
        <v>163</v>
      </c>
      <c r="C54">
        <f>SUM(C42:C53)</f>
        <v>159</v>
      </c>
      <c r="D54">
        <f t="shared" ref="D54:E54" si="4">SUM(D42:D53)</f>
        <v>149</v>
      </c>
      <c r="E54">
        <f t="shared" si="4"/>
        <v>139</v>
      </c>
    </row>
  </sheetData>
  <mergeCells count="2">
    <mergeCell ref="A16:E16"/>
    <mergeCell ref="I1:L1"/>
  </mergeCells>
  <pageMargins left="0" right="0" top="0" bottom="0" header="0" footer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25.42578125" bestFit="1" customWidth="1"/>
    <col min="13" max="13" width="26.42578125" customWidth="1"/>
    <col min="14" max="14" width="18" bestFit="1" customWidth="1"/>
    <col min="15" max="20" width="13.7109375" customWidth="1"/>
  </cols>
  <sheetData>
    <row r="1" spans="1:20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20</v>
      </c>
      <c r="H1" t="s">
        <v>411</v>
      </c>
      <c r="J1" s="128" t="s">
        <v>348</v>
      </c>
      <c r="K1" t="s">
        <v>470</v>
      </c>
    </row>
    <row r="2" spans="1:20" x14ac:dyDescent="0.2">
      <c r="A2" t="s">
        <v>410</v>
      </c>
      <c r="B2" s="114">
        <f>Rendements!$J4</f>
        <v>0</v>
      </c>
      <c r="C2" s="114">
        <f>Rendements!$J5</f>
        <v>0</v>
      </c>
      <c r="D2" s="114">
        <f>Rendements!$J6</f>
        <v>1</v>
      </c>
      <c r="E2" s="114">
        <f>Rendements!$J7</f>
        <v>1</v>
      </c>
      <c r="F2" s="114">
        <f>Rendements!$J8</f>
        <v>1</v>
      </c>
      <c r="G2" s="114">
        <f>Rendements!$J9</f>
        <v>1</v>
      </c>
      <c r="H2" s="114">
        <f>Rendements!$J14</f>
        <v>1</v>
      </c>
      <c r="J2" s="117">
        <v>1</v>
      </c>
      <c r="K2" s="1">
        <v>15</v>
      </c>
    </row>
    <row r="3" spans="1:20" x14ac:dyDescent="0.25">
      <c r="A3" t="s">
        <v>22</v>
      </c>
      <c r="B3">
        <v>1000</v>
      </c>
      <c r="C3">
        <v>1500</v>
      </c>
      <c r="D3">
        <v>3500</v>
      </c>
      <c r="E3">
        <v>8500</v>
      </c>
      <c r="F3">
        <v>20000</v>
      </c>
      <c r="G3">
        <v>5000</v>
      </c>
      <c r="H3">
        <v>10000</v>
      </c>
      <c r="J3" s="117">
        <v>2</v>
      </c>
      <c r="K3" s="1">
        <v>10</v>
      </c>
      <c r="M3" s="4"/>
      <c r="N3" s="4"/>
      <c r="O3" s="147" t="s">
        <v>23</v>
      </c>
      <c r="P3" s="147"/>
      <c r="Q3" s="147"/>
      <c r="R3" s="147" t="s">
        <v>24</v>
      </c>
      <c r="S3" s="147"/>
      <c r="T3" s="147"/>
    </row>
    <row r="4" spans="1:20" x14ac:dyDescent="0.25">
      <c r="A4" t="s">
        <v>25</v>
      </c>
      <c r="B4">
        <v>15</v>
      </c>
      <c r="C4">
        <v>20</v>
      </c>
      <c r="D4">
        <v>30</v>
      </c>
      <c r="E4">
        <v>60</v>
      </c>
      <c r="F4">
        <v>120</v>
      </c>
      <c r="G4">
        <v>40</v>
      </c>
      <c r="H4">
        <v>70</v>
      </c>
      <c r="J4" s="117">
        <v>3</v>
      </c>
      <c r="K4" s="1">
        <v>10</v>
      </c>
      <c r="M4" s="4"/>
      <c r="N4" s="4"/>
      <c r="O4" s="6" t="s">
        <v>26</v>
      </c>
      <c r="P4" s="6" t="s">
        <v>27</v>
      </c>
      <c r="Q4" s="6" t="s">
        <v>28</v>
      </c>
      <c r="R4" s="6" t="s">
        <v>29</v>
      </c>
      <c r="S4" s="6" t="s">
        <v>30</v>
      </c>
      <c r="T4" s="6" t="s">
        <v>31</v>
      </c>
    </row>
    <row r="5" spans="1:20" x14ac:dyDescent="0.25">
      <c r="A5" t="s">
        <v>32</v>
      </c>
      <c r="B5">
        <f t="shared" ref="B5:H5" si="0">60*B3/B4*B2*$B$11</f>
        <v>0</v>
      </c>
      <c r="C5">
        <f t="shared" si="0"/>
        <v>0</v>
      </c>
      <c r="D5">
        <f t="shared" si="0"/>
        <v>7000</v>
      </c>
      <c r="E5">
        <f t="shared" si="0"/>
        <v>8500</v>
      </c>
      <c r="F5">
        <f t="shared" si="0"/>
        <v>10000</v>
      </c>
      <c r="G5">
        <f t="shared" si="0"/>
        <v>7500</v>
      </c>
      <c r="H5" s="3">
        <f t="shared" si="0"/>
        <v>8571.4285714285706</v>
      </c>
      <c r="J5" s="106" t="s">
        <v>420</v>
      </c>
      <c r="K5" s="130">
        <v>10</v>
      </c>
      <c r="M5" s="5" t="s">
        <v>33</v>
      </c>
      <c r="N5" s="5" t="s">
        <v>34</v>
      </c>
      <c r="O5" s="7" t="s">
        <v>35</v>
      </c>
      <c r="P5" s="7" t="s">
        <v>36</v>
      </c>
      <c r="Q5" s="7">
        <v>10</v>
      </c>
      <c r="R5" s="7" t="s">
        <v>37</v>
      </c>
      <c r="S5" s="8" t="s">
        <v>38</v>
      </c>
      <c r="T5" s="8">
        <v>10000</v>
      </c>
    </row>
    <row r="6" spans="1:20" x14ac:dyDescent="0.25">
      <c r="J6" s="132"/>
      <c r="K6" s="129"/>
      <c r="M6" s="5" t="s">
        <v>39</v>
      </c>
      <c r="N6" s="5" t="s">
        <v>40</v>
      </c>
      <c r="O6" s="7" t="s">
        <v>41</v>
      </c>
      <c r="P6" s="7" t="s">
        <v>42</v>
      </c>
      <c r="Q6" s="7">
        <v>50</v>
      </c>
      <c r="R6" s="7" t="s">
        <v>43</v>
      </c>
      <c r="S6" s="7" t="s">
        <v>44</v>
      </c>
      <c r="T6" s="8">
        <v>8571</v>
      </c>
    </row>
    <row r="7" spans="1:20" x14ac:dyDescent="0.25">
      <c r="A7" t="s">
        <v>45</v>
      </c>
      <c r="B7">
        <v>60</v>
      </c>
      <c r="C7">
        <v>80</v>
      </c>
      <c r="D7">
        <v>40</v>
      </c>
      <c r="E7">
        <v>20</v>
      </c>
      <c r="F7">
        <v>10</v>
      </c>
      <c r="G7">
        <v>100</v>
      </c>
      <c r="H7">
        <v>50</v>
      </c>
      <c r="J7" s="133"/>
      <c r="K7" s="129"/>
      <c r="M7" s="5" t="s">
        <v>46</v>
      </c>
      <c r="N7" s="5" t="s">
        <v>3</v>
      </c>
      <c r="O7" s="7" t="s">
        <v>47</v>
      </c>
      <c r="P7" s="7" t="s">
        <v>48</v>
      </c>
      <c r="Q7" s="7">
        <v>20</v>
      </c>
      <c r="R7" s="7" t="s">
        <v>49</v>
      </c>
      <c r="S7" s="8" t="s">
        <v>38</v>
      </c>
      <c r="T7" s="8">
        <v>8500</v>
      </c>
    </row>
    <row r="8" spans="1:20" x14ac:dyDescent="0.2">
      <c r="A8" t="s">
        <v>50</v>
      </c>
      <c r="B8">
        <f t="shared" ref="B8:H8" si="1">B7*B4*B2</f>
        <v>0</v>
      </c>
      <c r="C8">
        <f t="shared" si="1"/>
        <v>0</v>
      </c>
      <c r="D8">
        <f t="shared" si="1"/>
        <v>1200</v>
      </c>
      <c r="E8">
        <f t="shared" si="1"/>
        <v>1200</v>
      </c>
      <c r="F8">
        <f t="shared" si="1"/>
        <v>1200</v>
      </c>
      <c r="G8">
        <f t="shared" si="1"/>
        <v>4000</v>
      </c>
      <c r="H8">
        <f t="shared" si="1"/>
        <v>3500</v>
      </c>
      <c r="M8" s="5" t="s">
        <v>51</v>
      </c>
      <c r="N8" s="5" t="s">
        <v>18</v>
      </c>
      <c r="O8" s="7" t="s">
        <v>52</v>
      </c>
      <c r="P8" s="7" t="s">
        <v>53</v>
      </c>
      <c r="Q8" s="7">
        <v>100</v>
      </c>
      <c r="R8" s="7" t="s">
        <v>43</v>
      </c>
      <c r="S8" s="7" t="s">
        <v>54</v>
      </c>
      <c r="T8" s="8">
        <v>7500</v>
      </c>
    </row>
    <row r="9" spans="1:20" x14ac:dyDescent="0.25">
      <c r="A9" t="s">
        <v>55</v>
      </c>
      <c r="B9">
        <f t="shared" ref="B9:H9" si="2">B7*B3*B2</f>
        <v>0</v>
      </c>
      <c r="C9">
        <f t="shared" si="2"/>
        <v>0</v>
      </c>
      <c r="D9">
        <f t="shared" si="2"/>
        <v>140000</v>
      </c>
      <c r="E9">
        <f t="shared" si="2"/>
        <v>170000</v>
      </c>
      <c r="F9">
        <f t="shared" si="2"/>
        <v>200000</v>
      </c>
      <c r="G9">
        <f t="shared" si="2"/>
        <v>500000</v>
      </c>
      <c r="H9">
        <f t="shared" si="2"/>
        <v>500000</v>
      </c>
      <c r="M9" s="5" t="s">
        <v>56</v>
      </c>
      <c r="N9" s="5" t="s">
        <v>57</v>
      </c>
      <c r="O9" s="7" t="s">
        <v>58</v>
      </c>
      <c r="P9" s="7" t="s">
        <v>59</v>
      </c>
      <c r="Q9" s="7">
        <v>40</v>
      </c>
      <c r="R9" s="7" t="s">
        <v>60</v>
      </c>
      <c r="S9" s="8" t="s">
        <v>38</v>
      </c>
      <c r="T9" s="8">
        <v>7000</v>
      </c>
    </row>
    <row r="10" spans="1:20" x14ac:dyDescent="0.2">
      <c r="M10" s="5" t="s">
        <v>61</v>
      </c>
      <c r="N10" s="5" t="s">
        <v>62</v>
      </c>
      <c r="O10" s="7" t="s">
        <v>63</v>
      </c>
      <c r="P10" s="7" t="s">
        <v>64</v>
      </c>
      <c r="Q10" s="7">
        <v>80</v>
      </c>
      <c r="R10" s="7" t="s">
        <v>65</v>
      </c>
      <c r="S10" s="7" t="s">
        <v>66</v>
      </c>
      <c r="T10" s="7">
        <v>4500</v>
      </c>
    </row>
    <row r="11" spans="1:20" x14ac:dyDescent="0.2">
      <c r="A11" t="s">
        <v>67</v>
      </c>
      <c r="B11" s="114">
        <f>Rendements!D10</f>
        <v>1</v>
      </c>
      <c r="M11" s="5" t="s">
        <v>68</v>
      </c>
      <c r="N11" s="5" t="s">
        <v>69</v>
      </c>
      <c r="O11" s="7" t="s">
        <v>70</v>
      </c>
      <c r="P11" s="7" t="s">
        <v>71</v>
      </c>
      <c r="Q11" s="7">
        <v>60</v>
      </c>
      <c r="R11" s="7" t="s">
        <v>72</v>
      </c>
      <c r="S11" s="7" t="s">
        <v>73</v>
      </c>
      <c r="T11" s="7">
        <v>4000</v>
      </c>
    </row>
    <row r="12" spans="1:20" x14ac:dyDescent="0.2">
      <c r="A12" t="s">
        <v>15</v>
      </c>
      <c r="B12" s="114">
        <f>Rendements!E10</f>
        <v>1</v>
      </c>
      <c r="M12" s="9"/>
      <c r="N12" s="9"/>
      <c r="O12" s="7"/>
      <c r="P12" s="7"/>
      <c r="Q12" s="7"/>
      <c r="R12" s="7"/>
      <c r="S12" s="7"/>
      <c r="T12" s="7"/>
    </row>
    <row r="13" spans="1:20" x14ac:dyDescent="0.2">
      <c r="A13" t="s">
        <v>74</v>
      </c>
      <c r="B13" s="114">
        <f>Rendements!J10</f>
        <v>10000</v>
      </c>
    </row>
    <row r="14" spans="1:20" x14ac:dyDescent="0.2">
      <c r="A14" t="s">
        <v>8</v>
      </c>
      <c r="B14" s="114">
        <f>Rendements!F10</f>
        <v>2000</v>
      </c>
    </row>
    <row r="15" spans="1:20" x14ac:dyDescent="0.25">
      <c r="A15" t="s">
        <v>484</v>
      </c>
      <c r="B15" s="1">
        <v>31000</v>
      </c>
    </row>
    <row r="17" spans="1:4" x14ac:dyDescent="0.25">
      <c r="A17" t="s">
        <v>485</v>
      </c>
      <c r="B17">
        <f>VLOOKUP(Rendements!I10,J2:K5,2,FALSE)</f>
        <v>15</v>
      </c>
    </row>
    <row r="18" spans="1:4" x14ac:dyDescent="0.25">
      <c r="A18" t="s">
        <v>75</v>
      </c>
      <c r="B18">
        <f>SMALL(B8:H8,COUNTIF(B8:H8,0)+1)/60</f>
        <v>20</v>
      </c>
      <c r="D18" s="3"/>
    </row>
    <row r="19" spans="1:4" x14ac:dyDescent="0.25">
      <c r="A19" t="s">
        <v>76</v>
      </c>
      <c r="B19" s="3">
        <f>B12*(SUM(B5:H5)*B18-IF(B18*SUM(B5:H5)&gt;1000000,100000,0.1*B18*SUM(B5:H5))+B13*B18*60/48-B14*B18*60/48)</f>
        <v>948285.71428571432</v>
      </c>
      <c r="D19" s="44"/>
    </row>
    <row r="20" spans="1:4" x14ac:dyDescent="0.25">
      <c r="A20" t="s">
        <v>77</v>
      </c>
      <c r="B20" s="3">
        <f>IF(SUM(B2:H2)&gt;5,"ERREUR",B19/B18)</f>
        <v>47414.285714285717</v>
      </c>
    </row>
    <row r="22" spans="1:4" x14ac:dyDescent="0.25">
      <c r="A22" t="s">
        <v>486</v>
      </c>
      <c r="B22" s="3">
        <f>(B19+B15*(MATCH(Rendements!I10,J2:J5,0)-1))/(B17*MATCH(Rendements!I10,J2:J5,0))*60</f>
        <v>3793142.8571428573</v>
      </c>
    </row>
    <row r="23" spans="1:4" x14ac:dyDescent="0.25">
      <c r="A23" t="s">
        <v>471</v>
      </c>
      <c r="B23" s="3">
        <f>B19/B17*60</f>
        <v>3793142.8571428573</v>
      </c>
    </row>
  </sheetData>
  <mergeCells count="2">
    <mergeCell ref="O3:Q3"/>
    <mergeCell ref="R3:T3"/>
  </mergeCells>
  <conditionalFormatting sqref="B5:H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15.140625" bestFit="1" customWidth="1"/>
  </cols>
  <sheetData>
    <row r="1" spans="1:1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20</v>
      </c>
      <c r="H1" t="s">
        <v>21</v>
      </c>
      <c r="I1" t="s">
        <v>78</v>
      </c>
      <c r="K1" t="s">
        <v>79</v>
      </c>
    </row>
    <row r="2" spans="1:11" x14ac:dyDescent="0.2">
      <c r="A2" t="s">
        <v>80</v>
      </c>
      <c r="B2">
        <v>3000</v>
      </c>
      <c r="C2">
        <v>4800</v>
      </c>
      <c r="D2">
        <v>6000</v>
      </c>
      <c r="E2">
        <v>7200</v>
      </c>
      <c r="F2">
        <v>9000</v>
      </c>
      <c r="G2">
        <v>9400</v>
      </c>
      <c r="H2">
        <v>1350</v>
      </c>
      <c r="I2">
        <v>2000</v>
      </c>
      <c r="K2">
        <f>SUM(B2:I2)</f>
        <v>42750</v>
      </c>
    </row>
    <row r="3" spans="1:11" x14ac:dyDescent="0.2">
      <c r="A3" t="s">
        <v>81</v>
      </c>
      <c r="B3">
        <f>60*B2/48</f>
        <v>3750</v>
      </c>
      <c r="C3">
        <f t="shared" ref="C3:I3" si="0">60*C2/48</f>
        <v>6000</v>
      </c>
      <c r="D3">
        <f t="shared" si="0"/>
        <v>7500</v>
      </c>
      <c r="E3">
        <f t="shared" si="0"/>
        <v>9000</v>
      </c>
      <c r="F3">
        <f t="shared" si="0"/>
        <v>11250</v>
      </c>
      <c r="G3">
        <f t="shared" si="0"/>
        <v>11750</v>
      </c>
      <c r="H3">
        <f t="shared" si="0"/>
        <v>1687.5</v>
      </c>
      <c r="I3">
        <f t="shared" si="0"/>
        <v>2500</v>
      </c>
      <c r="K3">
        <f t="shared" ref="K3" si="1">60*K2/48</f>
        <v>53437.5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3.42578125" customWidth="1"/>
    <col min="3" max="3" width="27.140625" customWidth="1"/>
    <col min="4" max="5" width="7.7109375" customWidth="1"/>
    <col min="6" max="6" width="11.7109375" customWidth="1"/>
    <col min="7" max="8" width="7.7109375" customWidth="1"/>
    <col min="9" max="9" width="10.42578125" customWidth="1"/>
    <col min="10" max="10" width="10.7109375" customWidth="1"/>
    <col min="13" max="13" width="11.42578125" customWidth="1"/>
    <col min="14" max="14" width="27.140625" customWidth="1"/>
    <col min="15" max="17" width="7.7109375" customWidth="1"/>
    <col min="18" max="18" width="11.7109375" customWidth="1"/>
    <col min="19" max="20" width="7.7109375" customWidth="1"/>
    <col min="21" max="21" width="10.7109375" customWidth="1"/>
  </cols>
  <sheetData>
    <row r="1" spans="1:22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20" customHeight="1" x14ac:dyDescent="0.25">
      <c r="A2" s="4"/>
      <c r="B2" s="4"/>
      <c r="C2" s="4"/>
      <c r="D2" s="85" t="s">
        <v>82</v>
      </c>
      <c r="E2" s="85" t="s">
        <v>407</v>
      </c>
      <c r="F2" s="85" t="s">
        <v>408</v>
      </c>
      <c r="G2" s="86" t="s">
        <v>409</v>
      </c>
      <c r="H2" s="85" t="s">
        <v>389</v>
      </c>
      <c r="I2" s="86" t="s">
        <v>415</v>
      </c>
      <c r="J2" s="87" t="s">
        <v>31</v>
      </c>
      <c r="K2" s="4"/>
      <c r="L2" s="4"/>
      <c r="M2" s="4"/>
      <c r="N2" s="4"/>
      <c r="O2" s="87" t="s">
        <v>82</v>
      </c>
      <c r="P2" s="87" t="s">
        <v>393</v>
      </c>
      <c r="Q2" s="87" t="s">
        <v>392</v>
      </c>
      <c r="R2" s="87" t="s">
        <v>391</v>
      </c>
      <c r="S2" s="87" t="s">
        <v>390</v>
      </c>
      <c r="T2" s="99" t="s">
        <v>418</v>
      </c>
      <c r="U2" s="87" t="s">
        <v>13</v>
      </c>
      <c r="V2" s="4"/>
    </row>
    <row r="3" spans="1:22" ht="15" customHeight="1" x14ac:dyDescent="0.25">
      <c r="A3" s="4"/>
      <c r="B3" s="141" t="s">
        <v>138</v>
      </c>
      <c r="C3" s="90" t="s">
        <v>83</v>
      </c>
      <c r="D3" s="148"/>
      <c r="E3" s="150"/>
      <c r="F3" s="45"/>
      <c r="G3" s="46"/>
      <c r="H3" s="47"/>
      <c r="I3" s="48"/>
      <c r="J3" s="49"/>
      <c r="K3" s="43"/>
      <c r="L3" s="4"/>
      <c r="M3" s="141" t="s">
        <v>394</v>
      </c>
      <c r="N3" s="95" t="s">
        <v>402</v>
      </c>
      <c r="P3" s="33"/>
      <c r="Q3" s="33"/>
      <c r="R3" s="39"/>
      <c r="S3" s="36"/>
      <c r="T3" s="31"/>
      <c r="U3" s="12"/>
      <c r="V3" s="4"/>
    </row>
    <row r="4" spans="1:22" ht="15" customHeight="1" x14ac:dyDescent="0.25">
      <c r="A4" s="4"/>
      <c r="B4" s="142"/>
      <c r="C4" s="90" t="s">
        <v>84</v>
      </c>
      <c r="D4" s="149"/>
      <c r="E4" s="151"/>
      <c r="F4" s="50"/>
      <c r="G4" s="51"/>
      <c r="H4" s="52"/>
      <c r="I4" s="53"/>
      <c r="J4" s="49"/>
      <c r="K4" s="43"/>
      <c r="L4" s="4"/>
      <c r="M4" s="142">
        <f t="shared" ref="M4:M9" si="0">B4</f>
        <v>0</v>
      </c>
      <c r="N4" s="95" t="s">
        <v>403</v>
      </c>
      <c r="P4" s="33"/>
      <c r="Q4" s="33"/>
      <c r="R4" s="39"/>
      <c r="S4" s="36"/>
      <c r="T4" s="31"/>
      <c r="U4" s="12"/>
      <c r="V4" s="4"/>
    </row>
    <row r="5" spans="1:22" ht="15" customHeight="1" x14ac:dyDescent="0.25">
      <c r="A5" s="4"/>
      <c r="B5" s="142"/>
      <c r="C5" s="90" t="s">
        <v>85</v>
      </c>
      <c r="D5" s="149"/>
      <c r="E5" s="151"/>
      <c r="F5" s="50"/>
      <c r="G5" s="51"/>
      <c r="H5" s="52"/>
      <c r="I5" s="53"/>
      <c r="J5" s="49"/>
      <c r="K5" s="43"/>
      <c r="L5" s="4"/>
      <c r="M5" s="142">
        <f t="shared" si="0"/>
        <v>0</v>
      </c>
      <c r="N5" s="95" t="s">
        <v>404</v>
      </c>
      <c r="P5" s="33"/>
      <c r="Q5" s="33"/>
      <c r="R5" s="39"/>
      <c r="S5" s="36"/>
      <c r="T5" s="31"/>
      <c r="U5" s="12"/>
      <c r="V5" s="4"/>
    </row>
    <row r="6" spans="1:22" ht="15" customHeight="1" x14ac:dyDescent="0.25">
      <c r="A6" s="4"/>
      <c r="B6" s="142"/>
      <c r="C6" s="90" t="s">
        <v>86</v>
      </c>
      <c r="D6" s="149"/>
      <c r="E6" s="151"/>
      <c r="F6" s="50"/>
      <c r="G6" s="51"/>
      <c r="H6" s="52"/>
      <c r="I6" s="53"/>
      <c r="J6" s="49"/>
      <c r="K6" s="43"/>
      <c r="L6" s="4"/>
      <c r="M6" s="142">
        <f t="shared" si="0"/>
        <v>0</v>
      </c>
      <c r="N6" s="95" t="s">
        <v>405</v>
      </c>
      <c r="P6" s="33"/>
      <c r="Q6" s="33"/>
      <c r="R6" s="39"/>
      <c r="S6" s="36"/>
      <c r="T6" s="31"/>
      <c r="U6" s="12"/>
      <c r="V6" s="4"/>
    </row>
    <row r="7" spans="1:22" ht="15" customHeight="1" x14ac:dyDescent="0.25">
      <c r="A7" s="4"/>
      <c r="B7" s="142"/>
      <c r="C7" s="90" t="s">
        <v>87</v>
      </c>
      <c r="D7" s="149"/>
      <c r="E7" s="151"/>
      <c r="F7" s="50"/>
      <c r="G7" s="51"/>
      <c r="H7" s="52"/>
      <c r="I7" s="53"/>
      <c r="J7" s="49"/>
      <c r="K7" s="43"/>
      <c r="L7" s="4"/>
      <c r="M7" s="142">
        <f t="shared" si="0"/>
        <v>0</v>
      </c>
      <c r="N7" s="95" t="s">
        <v>406</v>
      </c>
      <c r="P7" s="33"/>
      <c r="Q7" s="33"/>
      <c r="R7" s="39"/>
      <c r="S7" s="36"/>
      <c r="T7" s="31"/>
      <c r="U7" s="12"/>
      <c r="V7" s="4"/>
    </row>
    <row r="8" spans="1:22" ht="15" customHeight="1" x14ac:dyDescent="0.25">
      <c r="A8" s="4"/>
      <c r="B8" s="142"/>
      <c r="C8" s="90" t="s">
        <v>88</v>
      </c>
      <c r="D8" s="54"/>
      <c r="E8" s="55"/>
      <c r="F8" s="50"/>
      <c r="G8" s="51"/>
      <c r="H8" s="52"/>
      <c r="I8" s="53"/>
      <c r="J8" s="49"/>
      <c r="K8" s="43"/>
      <c r="L8" s="4"/>
      <c r="M8" s="142">
        <f t="shared" si="0"/>
        <v>0</v>
      </c>
      <c r="N8" s="95" t="s">
        <v>18</v>
      </c>
      <c r="P8" s="33"/>
      <c r="Q8" s="33"/>
      <c r="R8" s="39"/>
      <c r="S8" s="36"/>
      <c r="T8" s="31"/>
      <c r="U8" s="12"/>
      <c r="V8" s="4"/>
    </row>
    <row r="9" spans="1:22" ht="15" customHeight="1" x14ac:dyDescent="0.25">
      <c r="A9" s="4"/>
      <c r="B9" s="143"/>
      <c r="C9" s="90" t="s">
        <v>89</v>
      </c>
      <c r="D9" s="56"/>
      <c r="E9" s="57"/>
      <c r="F9" s="58"/>
      <c r="G9" s="59"/>
      <c r="H9" s="60"/>
      <c r="I9" s="61"/>
      <c r="J9" s="49"/>
      <c r="K9" s="43"/>
      <c r="L9" s="4"/>
      <c r="M9" s="143">
        <f t="shared" si="0"/>
        <v>0</v>
      </c>
      <c r="N9" s="95" t="s">
        <v>78</v>
      </c>
      <c r="P9" s="33"/>
      <c r="Q9" s="33"/>
      <c r="R9" s="39"/>
      <c r="S9" s="36"/>
      <c r="T9" s="31"/>
      <c r="U9" s="12"/>
      <c r="V9" s="4"/>
    </row>
    <row r="10" spans="1:22" ht="5.25" customHeight="1" x14ac:dyDescent="0.25">
      <c r="A10" s="4"/>
      <c r="B10" s="4"/>
      <c r="C10" s="91"/>
      <c r="D10" s="62"/>
      <c r="E10" s="63"/>
      <c r="F10" s="64"/>
      <c r="G10" s="65"/>
      <c r="H10" s="13"/>
      <c r="I10" s="13"/>
      <c r="J10" s="13"/>
      <c r="K10" s="43"/>
      <c r="L10" s="4"/>
      <c r="M10" s="4"/>
      <c r="N10" s="91"/>
      <c r="O10" s="4"/>
      <c r="P10" s="34"/>
      <c r="Q10" s="34"/>
      <c r="R10" s="40"/>
      <c r="S10" s="37"/>
      <c r="T10" s="4"/>
      <c r="U10" s="4"/>
      <c r="V10" s="4"/>
    </row>
    <row r="11" spans="1:22" ht="15" customHeight="1" x14ac:dyDescent="0.25">
      <c r="A11" s="4"/>
      <c r="B11" s="141" t="s">
        <v>140</v>
      </c>
      <c r="C11" s="92" t="s">
        <v>358</v>
      </c>
      <c r="D11" s="66"/>
      <c r="E11" s="67"/>
      <c r="F11" s="68"/>
      <c r="G11" s="69"/>
      <c r="H11" s="70"/>
      <c r="I11" s="71"/>
      <c r="J11" s="49"/>
      <c r="K11" s="43"/>
      <c r="L11" s="4"/>
      <c r="M11" s="141" t="s">
        <v>395</v>
      </c>
      <c r="N11" s="96" t="s">
        <v>396</v>
      </c>
      <c r="P11" s="35"/>
      <c r="Q11" s="35"/>
      <c r="R11" s="41"/>
      <c r="S11" s="38"/>
      <c r="T11" s="11"/>
      <c r="U11" s="12"/>
      <c r="V11" s="4"/>
    </row>
    <row r="12" spans="1:22" ht="15" customHeight="1" x14ac:dyDescent="0.25">
      <c r="A12" s="4"/>
      <c r="B12" s="142"/>
      <c r="C12" s="92" t="s">
        <v>141</v>
      </c>
      <c r="D12" s="72"/>
      <c r="E12" s="73"/>
      <c r="F12" s="74"/>
      <c r="G12" s="75"/>
      <c r="H12" s="76"/>
      <c r="I12" s="77"/>
      <c r="J12" s="49"/>
      <c r="K12" s="43"/>
      <c r="L12" s="4"/>
      <c r="M12" s="142">
        <f t="shared" ref="M12:M17" si="1">B12</f>
        <v>0</v>
      </c>
      <c r="N12" s="96" t="s">
        <v>397</v>
      </c>
      <c r="P12" s="35"/>
      <c r="Q12" s="35"/>
      <c r="R12" s="41"/>
      <c r="S12" s="38"/>
      <c r="T12" s="11"/>
      <c r="U12" s="12"/>
      <c r="V12" s="4"/>
    </row>
    <row r="13" spans="1:22" ht="15" customHeight="1" x14ac:dyDescent="0.25">
      <c r="A13" s="4"/>
      <c r="B13" s="142"/>
      <c r="C13" s="93" t="s">
        <v>146</v>
      </c>
      <c r="D13" s="72"/>
      <c r="E13" s="73"/>
      <c r="F13" s="74"/>
      <c r="G13" s="75"/>
      <c r="H13" s="76"/>
      <c r="I13" s="78"/>
      <c r="J13" s="49"/>
      <c r="K13" s="43"/>
      <c r="L13" s="4"/>
      <c r="M13" s="142">
        <f t="shared" si="1"/>
        <v>0</v>
      </c>
      <c r="N13" s="97" t="s">
        <v>398</v>
      </c>
      <c r="P13" s="35"/>
      <c r="Q13" s="35"/>
      <c r="R13" s="41"/>
      <c r="S13" s="38"/>
      <c r="T13" s="11"/>
      <c r="U13" s="12"/>
      <c r="V13" s="4"/>
    </row>
    <row r="14" spans="1:22" ht="15" customHeight="1" x14ac:dyDescent="0.25">
      <c r="A14" s="4"/>
      <c r="B14" s="142"/>
      <c r="C14" s="93" t="s">
        <v>229</v>
      </c>
      <c r="D14" s="72"/>
      <c r="E14" s="73"/>
      <c r="F14" s="74"/>
      <c r="G14" s="75"/>
      <c r="H14" s="76"/>
      <c r="I14" s="77"/>
      <c r="J14" s="49"/>
      <c r="K14" s="43"/>
      <c r="L14" s="4"/>
      <c r="M14" s="142">
        <f t="shared" si="1"/>
        <v>0</v>
      </c>
      <c r="N14" s="97" t="s">
        <v>399</v>
      </c>
      <c r="P14" s="35"/>
      <c r="Q14" s="35"/>
      <c r="R14" s="41"/>
      <c r="S14" s="38"/>
      <c r="T14" s="11"/>
      <c r="U14" s="12"/>
      <c r="V14" s="4"/>
    </row>
    <row r="15" spans="1:22" ht="15" customHeight="1" x14ac:dyDescent="0.25">
      <c r="A15" s="4"/>
      <c r="B15" s="142"/>
      <c r="C15" s="93" t="s">
        <v>142</v>
      </c>
      <c r="D15" s="72"/>
      <c r="E15" s="73"/>
      <c r="F15" s="74"/>
      <c r="G15" s="75"/>
      <c r="H15" s="76"/>
      <c r="I15" s="77"/>
      <c r="J15" s="49"/>
      <c r="K15" s="43"/>
      <c r="L15" s="4"/>
      <c r="M15" s="142">
        <f t="shared" si="1"/>
        <v>0</v>
      </c>
      <c r="N15" s="97" t="str">
        <f>C15</f>
        <v>Import/Export</v>
      </c>
      <c r="P15" s="35"/>
      <c r="Q15" s="35"/>
      <c r="R15" s="41"/>
      <c r="S15" s="38"/>
      <c r="T15" s="11"/>
      <c r="U15" s="12"/>
      <c r="V15" s="4"/>
    </row>
    <row r="16" spans="1:22" ht="15" customHeight="1" x14ac:dyDescent="0.25">
      <c r="A16" s="4"/>
      <c r="B16" s="142"/>
      <c r="C16" s="93" t="s">
        <v>143</v>
      </c>
      <c r="D16" s="72"/>
      <c r="E16" s="73"/>
      <c r="F16" s="74"/>
      <c r="G16" s="75"/>
      <c r="H16" s="76"/>
      <c r="I16" s="77"/>
      <c r="J16" s="49"/>
      <c r="K16" s="43"/>
      <c r="L16" s="4"/>
      <c r="M16" s="142">
        <f t="shared" si="1"/>
        <v>0</v>
      </c>
      <c r="N16" s="97" t="s">
        <v>400</v>
      </c>
      <c r="P16" s="35"/>
      <c r="Q16" s="35"/>
      <c r="R16" s="41"/>
      <c r="S16" s="38"/>
      <c r="T16" s="11"/>
      <c r="U16" s="12"/>
      <c r="V16" s="4"/>
    </row>
    <row r="17" spans="1:22" ht="15" customHeight="1" x14ac:dyDescent="0.25">
      <c r="A17" s="4"/>
      <c r="B17" s="143"/>
      <c r="C17" s="94" t="s">
        <v>144</v>
      </c>
      <c r="D17" s="79"/>
      <c r="E17" s="80"/>
      <c r="F17" s="81"/>
      <c r="G17" s="82"/>
      <c r="H17" s="83"/>
      <c r="I17" s="84"/>
      <c r="J17" s="49"/>
      <c r="K17" s="43"/>
      <c r="L17" s="4"/>
      <c r="M17" s="143">
        <f t="shared" si="1"/>
        <v>0</v>
      </c>
      <c r="N17" s="98" t="s">
        <v>401</v>
      </c>
      <c r="P17" s="35"/>
      <c r="Q17" s="35"/>
      <c r="R17" s="41"/>
      <c r="S17" s="38"/>
      <c r="T17" s="11"/>
      <c r="U17" s="12"/>
      <c r="V17" s="4"/>
    </row>
    <row r="18" spans="1:22" x14ac:dyDescent="0.25">
      <c r="A18" s="4"/>
      <c r="B18" s="4"/>
      <c r="C18" s="32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</sheetData>
  <mergeCells count="6">
    <mergeCell ref="B3:B9"/>
    <mergeCell ref="D3:D7"/>
    <mergeCell ref="E3:E7"/>
    <mergeCell ref="M3:M9"/>
    <mergeCell ref="B11:B17"/>
    <mergeCell ref="M11:M17"/>
  </mergeCells>
  <conditionalFormatting sqref="J3:J9">
    <cfRule type="colorScale" priority="6">
      <colorScale>
        <cfvo type="min"/>
        <cfvo type="max"/>
        <color theme="0"/>
        <color rgb="FF35A156"/>
      </colorScale>
    </cfRule>
    <cfRule type="colorScale" priority="8">
      <colorScale>
        <cfvo type="min"/>
        <cfvo type="max"/>
        <color rgb="FFFCFCFF"/>
        <color rgb="FF63BE7B"/>
      </colorScale>
    </cfRule>
  </conditionalFormatting>
  <conditionalFormatting sqref="J12:J17">
    <cfRule type="colorScale" priority="7">
      <colorScale>
        <cfvo type="min"/>
        <cfvo type="max"/>
        <color theme="0"/>
        <color rgb="FF35A156"/>
      </colorScale>
    </cfRule>
  </conditionalFormatting>
  <conditionalFormatting sqref="J11">
    <cfRule type="colorScale" priority="5">
      <colorScale>
        <cfvo type="min"/>
        <cfvo type="max"/>
        <color theme="0"/>
        <color rgb="FF35A156"/>
      </colorScale>
    </cfRule>
  </conditionalFormatting>
  <conditionalFormatting sqref="U3:U9">
    <cfRule type="colorScale" priority="2">
      <colorScale>
        <cfvo type="min"/>
        <cfvo type="max"/>
        <color theme="0"/>
        <color rgb="FF35A156"/>
      </colorScale>
    </cfRule>
    <cfRule type="colorScale" priority="4">
      <colorScale>
        <cfvo type="min"/>
        <cfvo type="max"/>
        <color rgb="FFFCFCFF"/>
        <color rgb="FF63BE7B"/>
      </colorScale>
    </cfRule>
  </conditionalFormatting>
  <conditionalFormatting sqref="U12:U17">
    <cfRule type="colorScale" priority="3">
      <colorScale>
        <cfvo type="min"/>
        <cfvo type="max"/>
        <color theme="0"/>
        <color rgb="FF35A156"/>
      </colorScale>
    </cfRule>
  </conditionalFormatting>
  <conditionalFormatting sqref="U11">
    <cfRule type="colorScale" priority="1">
      <colorScale>
        <cfvo type="min"/>
        <cfvo type="max"/>
        <color theme="0"/>
        <color rgb="FF35A156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selection activeCell="B23" sqref="B23"/>
    </sheetView>
  </sheetViews>
  <sheetFormatPr baseColWidth="10" defaultRowHeight="15" x14ac:dyDescent="0.25"/>
  <cols>
    <col min="1" max="1" width="19.7109375" bestFit="1" customWidth="1"/>
    <col min="4" max="4" width="24.7109375" bestFit="1" customWidth="1"/>
    <col min="5" max="5" width="15.42578125" bestFit="1" customWidth="1"/>
    <col min="7" max="7" width="11.42578125" style="27"/>
    <col min="11" max="11" width="12.7109375" bestFit="1" customWidth="1"/>
    <col min="12" max="12" width="13.5703125" bestFit="1" customWidth="1"/>
  </cols>
  <sheetData>
    <row r="1" spans="1:12" x14ac:dyDescent="0.25">
      <c r="A1" s="125" t="s">
        <v>23</v>
      </c>
      <c r="B1" s="125" t="s">
        <v>26</v>
      </c>
      <c r="D1" s="125" t="s">
        <v>345</v>
      </c>
      <c r="E1" s="125" t="s">
        <v>346</v>
      </c>
      <c r="F1" s="125" t="s">
        <v>347</v>
      </c>
      <c r="G1" s="126" t="s">
        <v>348</v>
      </c>
      <c r="H1" s="126" t="s">
        <v>355</v>
      </c>
      <c r="I1" s="126" t="s">
        <v>31</v>
      </c>
      <c r="K1" s="125" t="s">
        <v>351</v>
      </c>
      <c r="L1" s="125" t="s">
        <v>352</v>
      </c>
    </row>
    <row r="2" spans="1:12" x14ac:dyDescent="0.25">
      <c r="A2" t="s">
        <v>349</v>
      </c>
      <c r="B2">
        <v>12000</v>
      </c>
      <c r="D2" t="s">
        <v>329</v>
      </c>
      <c r="E2" t="s">
        <v>232</v>
      </c>
      <c r="F2">
        <v>65</v>
      </c>
      <c r="G2" s="27">
        <v>8</v>
      </c>
      <c r="H2">
        <f>($B$2+F2*40)*$B$3*(1+(IF($B$7&gt;G2,G2,$B$7)-1)/10)*$B$6*$B$9</f>
        <v>10950</v>
      </c>
      <c r="I2">
        <f>H2*60/($B$5+$B$4)</f>
        <v>109500</v>
      </c>
      <c r="K2">
        <v>2</v>
      </c>
      <c r="L2">
        <v>0.125</v>
      </c>
    </row>
    <row r="3" spans="1:12" x14ac:dyDescent="0.25">
      <c r="A3" t="s">
        <v>350</v>
      </c>
      <c r="B3" s="1">
        <v>1.5</v>
      </c>
      <c r="D3" t="s">
        <v>254</v>
      </c>
      <c r="E3" t="s">
        <v>232</v>
      </c>
      <c r="F3">
        <v>81</v>
      </c>
      <c r="G3" s="27">
        <v>6</v>
      </c>
      <c r="H3">
        <f t="shared" ref="H3:H66" si="0">($B$2+F3*40)*$B$3*(1+(IF($B$7&gt;G3,G3,$B$7)-1)/10)*$B$6*$B$9</f>
        <v>11430</v>
      </c>
      <c r="I3">
        <f t="shared" ref="I3:I66" si="1">H3*60/($B$5+$B$4)</f>
        <v>114300</v>
      </c>
      <c r="K3">
        <v>3</v>
      </c>
      <c r="L3">
        <v>0.25</v>
      </c>
    </row>
    <row r="4" spans="1:12" x14ac:dyDescent="0.25">
      <c r="A4" t="s">
        <v>354</v>
      </c>
      <c r="B4" s="1">
        <v>1</v>
      </c>
      <c r="D4" t="s">
        <v>326</v>
      </c>
      <c r="E4" t="s">
        <v>239</v>
      </c>
      <c r="F4">
        <v>23</v>
      </c>
      <c r="G4" s="27">
        <v>8</v>
      </c>
      <c r="H4">
        <f t="shared" si="0"/>
        <v>9690</v>
      </c>
      <c r="I4">
        <f t="shared" si="1"/>
        <v>96900</v>
      </c>
      <c r="K4">
        <v>4</v>
      </c>
      <c r="L4">
        <v>0.375</v>
      </c>
    </row>
    <row r="5" spans="1:12" x14ac:dyDescent="0.25">
      <c r="A5" t="s">
        <v>356</v>
      </c>
      <c r="B5" s="1">
        <v>5</v>
      </c>
      <c r="D5" t="s">
        <v>328</v>
      </c>
      <c r="E5" t="s">
        <v>270</v>
      </c>
      <c r="F5">
        <v>65</v>
      </c>
      <c r="G5" s="27">
        <v>6</v>
      </c>
      <c r="H5">
        <f t="shared" si="0"/>
        <v>10950</v>
      </c>
      <c r="I5">
        <f t="shared" si="1"/>
        <v>109500</v>
      </c>
      <c r="K5">
        <v>6</v>
      </c>
      <c r="L5">
        <v>0.5</v>
      </c>
    </row>
    <row r="6" spans="1:12" x14ac:dyDescent="0.25">
      <c r="A6" t="s">
        <v>357</v>
      </c>
      <c r="B6" s="1">
        <v>0.5</v>
      </c>
      <c r="D6" t="s">
        <v>313</v>
      </c>
      <c r="E6" t="s">
        <v>259</v>
      </c>
      <c r="F6">
        <v>55</v>
      </c>
      <c r="G6" s="27">
        <v>6</v>
      </c>
      <c r="H6">
        <f t="shared" si="0"/>
        <v>10650</v>
      </c>
      <c r="I6">
        <f t="shared" si="1"/>
        <v>106500</v>
      </c>
      <c r="K6">
        <v>8</v>
      </c>
      <c r="L6">
        <v>0.6</v>
      </c>
    </row>
    <row r="7" spans="1:12" x14ac:dyDescent="0.25">
      <c r="A7" t="s">
        <v>348</v>
      </c>
      <c r="B7" s="1">
        <f>Rendements!H12</f>
        <v>1</v>
      </c>
      <c r="D7" t="s">
        <v>289</v>
      </c>
      <c r="E7" t="s">
        <v>232</v>
      </c>
      <c r="F7">
        <v>50</v>
      </c>
      <c r="G7" s="27">
        <v>6</v>
      </c>
      <c r="H7">
        <f t="shared" si="0"/>
        <v>10500</v>
      </c>
      <c r="I7">
        <f t="shared" si="1"/>
        <v>105000</v>
      </c>
      <c r="K7">
        <v>10</v>
      </c>
      <c r="L7">
        <v>0.7</v>
      </c>
    </row>
    <row r="8" spans="1:12" x14ac:dyDescent="0.25">
      <c r="D8" t="s">
        <v>268</v>
      </c>
      <c r="E8" t="s">
        <v>232</v>
      </c>
      <c r="F8">
        <v>45</v>
      </c>
      <c r="G8" s="27">
        <v>6</v>
      </c>
      <c r="H8">
        <f t="shared" si="0"/>
        <v>10350</v>
      </c>
      <c r="I8">
        <f t="shared" si="1"/>
        <v>103500</v>
      </c>
      <c r="K8">
        <v>12</v>
      </c>
      <c r="L8">
        <v>0.8</v>
      </c>
    </row>
    <row r="9" spans="1:12" x14ac:dyDescent="0.25">
      <c r="A9" t="s">
        <v>82</v>
      </c>
      <c r="B9" s="1">
        <f>Rendements!D12</f>
        <v>1</v>
      </c>
      <c r="D9" t="s">
        <v>277</v>
      </c>
      <c r="E9" t="s">
        <v>270</v>
      </c>
      <c r="F9">
        <v>45</v>
      </c>
      <c r="G9" s="27">
        <v>6</v>
      </c>
      <c r="H9">
        <f t="shared" si="0"/>
        <v>10350</v>
      </c>
      <c r="I9">
        <f t="shared" si="1"/>
        <v>103500</v>
      </c>
      <c r="K9">
        <v>15</v>
      </c>
      <c r="L9">
        <v>0.9</v>
      </c>
    </row>
    <row r="10" spans="1:12" x14ac:dyDescent="0.25">
      <c r="D10" t="s">
        <v>336</v>
      </c>
      <c r="E10" t="s">
        <v>232</v>
      </c>
      <c r="F10">
        <v>40</v>
      </c>
      <c r="G10" s="27">
        <v>6</v>
      </c>
      <c r="H10">
        <f t="shared" si="0"/>
        <v>10200</v>
      </c>
      <c r="I10">
        <f t="shared" si="1"/>
        <v>102000</v>
      </c>
      <c r="K10" s="30" t="s">
        <v>353</v>
      </c>
      <c r="L10">
        <v>1</v>
      </c>
    </row>
    <row r="11" spans="1:12" x14ac:dyDescent="0.25">
      <c r="D11" t="s">
        <v>248</v>
      </c>
      <c r="E11" t="s">
        <v>232</v>
      </c>
      <c r="F11">
        <v>75</v>
      </c>
      <c r="G11" s="27">
        <v>4</v>
      </c>
      <c r="H11">
        <f t="shared" si="0"/>
        <v>11250</v>
      </c>
      <c r="I11">
        <f t="shared" si="1"/>
        <v>112500</v>
      </c>
    </row>
    <row r="12" spans="1:12" x14ac:dyDescent="0.25">
      <c r="D12" t="s">
        <v>319</v>
      </c>
      <c r="E12" t="s">
        <v>270</v>
      </c>
      <c r="F12">
        <v>75</v>
      </c>
      <c r="G12" s="27">
        <v>4</v>
      </c>
      <c r="H12">
        <f t="shared" si="0"/>
        <v>11250</v>
      </c>
      <c r="I12">
        <f t="shared" si="1"/>
        <v>112500</v>
      </c>
    </row>
    <row r="13" spans="1:12" x14ac:dyDescent="0.25">
      <c r="D13" t="s">
        <v>303</v>
      </c>
      <c r="E13" t="s">
        <v>270</v>
      </c>
      <c r="F13">
        <v>24</v>
      </c>
      <c r="G13" s="27">
        <v>6</v>
      </c>
      <c r="H13">
        <f t="shared" si="0"/>
        <v>9720</v>
      </c>
      <c r="I13">
        <f t="shared" si="1"/>
        <v>97200</v>
      </c>
    </row>
    <row r="14" spans="1:12" x14ac:dyDescent="0.25">
      <c r="D14" t="s">
        <v>311</v>
      </c>
      <c r="E14" t="s">
        <v>270</v>
      </c>
      <c r="F14">
        <v>70</v>
      </c>
      <c r="G14" s="27">
        <v>4</v>
      </c>
      <c r="H14">
        <f t="shared" si="0"/>
        <v>11100</v>
      </c>
      <c r="I14">
        <f t="shared" si="1"/>
        <v>111000</v>
      </c>
    </row>
    <row r="15" spans="1:12" x14ac:dyDescent="0.25">
      <c r="D15" t="s">
        <v>320</v>
      </c>
      <c r="E15" t="s">
        <v>288</v>
      </c>
      <c r="F15">
        <v>70</v>
      </c>
      <c r="G15" s="27">
        <v>4</v>
      </c>
      <c r="H15">
        <f t="shared" si="0"/>
        <v>11100</v>
      </c>
      <c r="I15">
        <f t="shared" si="1"/>
        <v>111000</v>
      </c>
    </row>
    <row r="16" spans="1:12" x14ac:dyDescent="0.25">
      <c r="D16" t="s">
        <v>321</v>
      </c>
      <c r="E16" t="s">
        <v>288</v>
      </c>
      <c r="F16">
        <v>70</v>
      </c>
      <c r="G16" s="27">
        <v>4</v>
      </c>
      <c r="H16">
        <f t="shared" si="0"/>
        <v>11100</v>
      </c>
      <c r="I16">
        <f t="shared" si="1"/>
        <v>111000</v>
      </c>
    </row>
    <row r="17" spans="4:9" x14ac:dyDescent="0.25">
      <c r="D17" t="s">
        <v>323</v>
      </c>
      <c r="E17" t="s">
        <v>270</v>
      </c>
      <c r="F17">
        <v>70</v>
      </c>
      <c r="G17" s="27">
        <v>4</v>
      </c>
      <c r="H17">
        <f t="shared" si="0"/>
        <v>11100</v>
      </c>
      <c r="I17">
        <f t="shared" si="1"/>
        <v>111000</v>
      </c>
    </row>
    <row r="18" spans="4:9" x14ac:dyDescent="0.25">
      <c r="D18" t="s">
        <v>312</v>
      </c>
      <c r="E18" t="s">
        <v>288</v>
      </c>
      <c r="F18">
        <v>65</v>
      </c>
      <c r="G18" s="27">
        <v>4</v>
      </c>
      <c r="H18">
        <f t="shared" si="0"/>
        <v>10950</v>
      </c>
      <c r="I18">
        <f t="shared" si="1"/>
        <v>109500</v>
      </c>
    </row>
    <row r="19" spans="4:9" x14ac:dyDescent="0.25">
      <c r="D19" t="s">
        <v>325</v>
      </c>
      <c r="E19" t="s">
        <v>270</v>
      </c>
      <c r="F19">
        <v>65</v>
      </c>
      <c r="G19" s="27">
        <v>4</v>
      </c>
      <c r="H19">
        <f t="shared" si="0"/>
        <v>10950</v>
      </c>
      <c r="I19">
        <f t="shared" si="1"/>
        <v>109500</v>
      </c>
    </row>
    <row r="20" spans="4:9" x14ac:dyDescent="0.25">
      <c r="D20" t="s">
        <v>287</v>
      </c>
      <c r="E20" t="s">
        <v>288</v>
      </c>
      <c r="F20">
        <v>60</v>
      </c>
      <c r="G20" s="27">
        <v>4</v>
      </c>
      <c r="H20">
        <f t="shared" si="0"/>
        <v>10800</v>
      </c>
      <c r="I20">
        <f t="shared" si="1"/>
        <v>108000</v>
      </c>
    </row>
    <row r="21" spans="4:9" x14ac:dyDescent="0.25">
      <c r="D21" t="s">
        <v>331</v>
      </c>
      <c r="E21" t="s">
        <v>270</v>
      </c>
      <c r="F21">
        <v>60</v>
      </c>
      <c r="G21" s="27">
        <v>4</v>
      </c>
      <c r="H21">
        <f t="shared" si="0"/>
        <v>10800</v>
      </c>
      <c r="I21">
        <f t="shared" si="1"/>
        <v>108000</v>
      </c>
    </row>
    <row r="22" spans="4:9" x14ac:dyDescent="0.25">
      <c r="D22" t="s">
        <v>255</v>
      </c>
      <c r="E22" t="s">
        <v>232</v>
      </c>
      <c r="F22">
        <v>55</v>
      </c>
      <c r="G22" s="27">
        <v>4</v>
      </c>
      <c r="H22">
        <f t="shared" si="0"/>
        <v>10650</v>
      </c>
      <c r="I22">
        <f t="shared" si="1"/>
        <v>106500</v>
      </c>
    </row>
    <row r="23" spans="4:9" x14ac:dyDescent="0.25">
      <c r="D23" t="s">
        <v>294</v>
      </c>
      <c r="E23" t="s">
        <v>259</v>
      </c>
      <c r="F23">
        <v>55</v>
      </c>
      <c r="G23" s="27">
        <v>4</v>
      </c>
      <c r="H23">
        <f t="shared" si="0"/>
        <v>10650</v>
      </c>
      <c r="I23">
        <f t="shared" si="1"/>
        <v>106500</v>
      </c>
    </row>
    <row r="24" spans="4:9" x14ac:dyDescent="0.25">
      <c r="D24" t="s">
        <v>314</v>
      </c>
      <c r="E24" t="s">
        <v>270</v>
      </c>
      <c r="F24">
        <v>55</v>
      </c>
      <c r="G24" s="27">
        <v>4</v>
      </c>
      <c r="H24">
        <f t="shared" si="0"/>
        <v>10650</v>
      </c>
      <c r="I24">
        <f t="shared" si="1"/>
        <v>106500</v>
      </c>
    </row>
    <row r="25" spans="4:9" x14ac:dyDescent="0.25">
      <c r="D25" t="s">
        <v>315</v>
      </c>
      <c r="E25" t="s">
        <v>270</v>
      </c>
      <c r="F25">
        <v>55</v>
      </c>
      <c r="G25" s="27">
        <v>4</v>
      </c>
      <c r="H25">
        <f t="shared" si="0"/>
        <v>10650</v>
      </c>
      <c r="I25">
        <f t="shared" si="1"/>
        <v>106500</v>
      </c>
    </row>
    <row r="26" spans="4:9" x14ac:dyDescent="0.25">
      <c r="D26" t="s">
        <v>332</v>
      </c>
      <c r="E26" t="s">
        <v>270</v>
      </c>
      <c r="F26">
        <v>55</v>
      </c>
      <c r="G26" s="27">
        <v>4</v>
      </c>
      <c r="H26">
        <f t="shared" si="0"/>
        <v>10650</v>
      </c>
      <c r="I26">
        <f t="shared" si="1"/>
        <v>106500</v>
      </c>
    </row>
    <row r="27" spans="4:9" x14ac:dyDescent="0.25">
      <c r="D27" t="s">
        <v>231</v>
      </c>
      <c r="E27" t="s">
        <v>232</v>
      </c>
      <c r="F27">
        <v>50</v>
      </c>
      <c r="G27" s="27">
        <v>4</v>
      </c>
      <c r="H27">
        <f t="shared" si="0"/>
        <v>10500</v>
      </c>
      <c r="I27">
        <f t="shared" si="1"/>
        <v>105000</v>
      </c>
    </row>
    <row r="28" spans="4:9" x14ac:dyDescent="0.25">
      <c r="D28" t="s">
        <v>299</v>
      </c>
      <c r="E28" t="s">
        <v>288</v>
      </c>
      <c r="F28">
        <v>50</v>
      </c>
      <c r="G28" s="27">
        <v>4</v>
      </c>
      <c r="H28">
        <f t="shared" si="0"/>
        <v>10500</v>
      </c>
      <c r="I28">
        <f t="shared" si="1"/>
        <v>105000</v>
      </c>
    </row>
    <row r="29" spans="4:9" x14ac:dyDescent="0.25">
      <c r="D29" t="s">
        <v>264</v>
      </c>
      <c r="E29" t="s">
        <v>244</v>
      </c>
      <c r="F29">
        <v>45</v>
      </c>
      <c r="G29" s="27">
        <v>4</v>
      </c>
      <c r="H29">
        <f t="shared" si="0"/>
        <v>10350</v>
      </c>
      <c r="I29">
        <f t="shared" si="1"/>
        <v>103500</v>
      </c>
    </row>
    <row r="30" spans="4:9" x14ac:dyDescent="0.25">
      <c r="D30" t="s">
        <v>271</v>
      </c>
      <c r="E30" t="s">
        <v>232</v>
      </c>
      <c r="F30">
        <v>45</v>
      </c>
      <c r="G30" s="27">
        <v>4</v>
      </c>
      <c r="H30">
        <f t="shared" si="0"/>
        <v>10350</v>
      </c>
      <c r="I30">
        <f t="shared" si="1"/>
        <v>103500</v>
      </c>
    </row>
    <row r="31" spans="4:9" x14ac:dyDescent="0.25">
      <c r="D31" t="s">
        <v>333</v>
      </c>
      <c r="E31" t="s">
        <v>232</v>
      </c>
      <c r="F31">
        <v>45</v>
      </c>
      <c r="G31" s="27">
        <v>4</v>
      </c>
      <c r="H31">
        <f t="shared" si="0"/>
        <v>10350</v>
      </c>
      <c r="I31">
        <f t="shared" si="1"/>
        <v>103500</v>
      </c>
    </row>
    <row r="32" spans="4:9" x14ac:dyDescent="0.25">
      <c r="D32" t="s">
        <v>344</v>
      </c>
      <c r="E32" t="s">
        <v>288</v>
      </c>
      <c r="F32">
        <v>43</v>
      </c>
      <c r="G32" s="27">
        <v>4</v>
      </c>
      <c r="H32">
        <f t="shared" si="0"/>
        <v>10290</v>
      </c>
      <c r="I32">
        <f t="shared" si="1"/>
        <v>102900</v>
      </c>
    </row>
    <row r="33" spans="4:9" x14ac:dyDescent="0.25">
      <c r="D33" t="s">
        <v>238</v>
      </c>
      <c r="E33" t="s">
        <v>239</v>
      </c>
      <c r="F33">
        <v>40</v>
      </c>
      <c r="G33" s="27">
        <v>4</v>
      </c>
      <c r="H33">
        <f t="shared" si="0"/>
        <v>10200</v>
      </c>
      <c r="I33">
        <f t="shared" si="1"/>
        <v>102000</v>
      </c>
    </row>
    <row r="34" spans="4:9" x14ac:dyDescent="0.25">
      <c r="D34" t="s">
        <v>262</v>
      </c>
      <c r="E34" t="s">
        <v>232</v>
      </c>
      <c r="F34">
        <v>40</v>
      </c>
      <c r="G34" s="27">
        <v>4</v>
      </c>
      <c r="H34">
        <f t="shared" si="0"/>
        <v>10200</v>
      </c>
      <c r="I34">
        <f t="shared" si="1"/>
        <v>102000</v>
      </c>
    </row>
    <row r="35" spans="4:9" x14ac:dyDescent="0.25">
      <c r="D35" t="s">
        <v>283</v>
      </c>
      <c r="E35" t="s">
        <v>232</v>
      </c>
      <c r="F35">
        <v>40</v>
      </c>
      <c r="G35" s="27">
        <v>4</v>
      </c>
      <c r="H35">
        <f t="shared" si="0"/>
        <v>10200</v>
      </c>
      <c r="I35">
        <f t="shared" si="1"/>
        <v>102000</v>
      </c>
    </row>
    <row r="36" spans="4:9" x14ac:dyDescent="0.25">
      <c r="D36" t="s">
        <v>292</v>
      </c>
      <c r="E36" t="s">
        <v>270</v>
      </c>
      <c r="F36">
        <v>40</v>
      </c>
      <c r="G36" s="27">
        <v>4</v>
      </c>
      <c r="H36">
        <f t="shared" si="0"/>
        <v>10200</v>
      </c>
      <c r="I36">
        <f t="shared" si="1"/>
        <v>102000</v>
      </c>
    </row>
    <row r="37" spans="4:9" x14ac:dyDescent="0.25">
      <c r="D37" t="s">
        <v>335</v>
      </c>
      <c r="E37" t="s">
        <v>259</v>
      </c>
      <c r="F37">
        <v>40</v>
      </c>
      <c r="G37" s="27">
        <v>4</v>
      </c>
      <c r="H37">
        <f t="shared" si="0"/>
        <v>10200</v>
      </c>
      <c r="I37">
        <f t="shared" si="1"/>
        <v>102000</v>
      </c>
    </row>
    <row r="38" spans="4:9" x14ac:dyDescent="0.25">
      <c r="D38" t="s">
        <v>330</v>
      </c>
      <c r="E38" t="s">
        <v>270</v>
      </c>
      <c r="F38">
        <v>65</v>
      </c>
      <c r="G38" s="27">
        <v>3</v>
      </c>
      <c r="H38">
        <f t="shared" si="0"/>
        <v>10950</v>
      </c>
      <c r="I38">
        <f t="shared" si="1"/>
        <v>109500</v>
      </c>
    </row>
    <row r="39" spans="4:9" x14ac:dyDescent="0.25">
      <c r="D39" t="s">
        <v>338</v>
      </c>
      <c r="E39" t="s">
        <v>239</v>
      </c>
      <c r="F39">
        <v>36</v>
      </c>
      <c r="G39" s="27">
        <v>4</v>
      </c>
      <c r="H39">
        <f t="shared" si="0"/>
        <v>10080</v>
      </c>
      <c r="I39">
        <f t="shared" si="1"/>
        <v>100800</v>
      </c>
    </row>
    <row r="40" spans="4:9" x14ac:dyDescent="0.25">
      <c r="D40" t="s">
        <v>316</v>
      </c>
      <c r="E40" t="s">
        <v>244</v>
      </c>
      <c r="F40">
        <v>35</v>
      </c>
      <c r="G40" s="27">
        <v>4</v>
      </c>
      <c r="H40">
        <f t="shared" si="0"/>
        <v>10050</v>
      </c>
      <c r="I40">
        <f t="shared" si="1"/>
        <v>100500</v>
      </c>
    </row>
    <row r="41" spans="4:9" x14ac:dyDescent="0.25">
      <c r="D41" t="s">
        <v>317</v>
      </c>
      <c r="E41" t="s">
        <v>239</v>
      </c>
      <c r="F41">
        <v>35</v>
      </c>
      <c r="G41" s="27">
        <v>4</v>
      </c>
      <c r="H41">
        <f t="shared" si="0"/>
        <v>10050</v>
      </c>
      <c r="I41">
        <f t="shared" si="1"/>
        <v>100500</v>
      </c>
    </row>
    <row r="42" spans="4:9" x14ac:dyDescent="0.25">
      <c r="D42" t="s">
        <v>256</v>
      </c>
      <c r="E42" t="s">
        <v>234</v>
      </c>
      <c r="F42">
        <v>30</v>
      </c>
      <c r="G42" s="27">
        <v>4</v>
      </c>
      <c r="H42">
        <f t="shared" si="0"/>
        <v>9900</v>
      </c>
      <c r="I42">
        <f t="shared" si="1"/>
        <v>99000</v>
      </c>
    </row>
    <row r="43" spans="4:9" x14ac:dyDescent="0.25">
      <c r="D43" t="s">
        <v>282</v>
      </c>
      <c r="E43" t="s">
        <v>244</v>
      </c>
      <c r="F43">
        <v>30</v>
      </c>
      <c r="G43" s="27">
        <v>4</v>
      </c>
      <c r="H43">
        <f t="shared" si="0"/>
        <v>9900</v>
      </c>
      <c r="I43">
        <f t="shared" si="1"/>
        <v>99000</v>
      </c>
    </row>
    <row r="44" spans="4:9" x14ac:dyDescent="0.25">
      <c r="D44" t="s">
        <v>301</v>
      </c>
      <c r="E44" t="s">
        <v>259</v>
      </c>
      <c r="F44">
        <v>30</v>
      </c>
      <c r="G44" s="27">
        <v>4</v>
      </c>
      <c r="H44">
        <f t="shared" si="0"/>
        <v>9900</v>
      </c>
      <c r="I44">
        <f t="shared" si="1"/>
        <v>99000</v>
      </c>
    </row>
    <row r="45" spans="4:9" x14ac:dyDescent="0.25">
      <c r="D45" t="s">
        <v>307</v>
      </c>
      <c r="E45" t="s">
        <v>270</v>
      </c>
      <c r="F45">
        <v>30</v>
      </c>
      <c r="G45" s="27">
        <v>4</v>
      </c>
      <c r="H45">
        <f t="shared" si="0"/>
        <v>9900</v>
      </c>
      <c r="I45">
        <f t="shared" si="1"/>
        <v>99000</v>
      </c>
    </row>
    <row r="46" spans="4:9" x14ac:dyDescent="0.25">
      <c r="D46" t="s">
        <v>318</v>
      </c>
      <c r="E46" t="s">
        <v>270</v>
      </c>
      <c r="F46">
        <v>30</v>
      </c>
      <c r="G46" s="27">
        <v>4</v>
      </c>
      <c r="H46">
        <f t="shared" si="0"/>
        <v>9900</v>
      </c>
      <c r="I46">
        <f t="shared" si="1"/>
        <v>99000</v>
      </c>
    </row>
    <row r="47" spans="4:9" x14ac:dyDescent="0.25">
      <c r="D47" t="s">
        <v>339</v>
      </c>
      <c r="E47" t="s">
        <v>288</v>
      </c>
      <c r="F47">
        <v>28</v>
      </c>
      <c r="G47" s="27">
        <v>4</v>
      </c>
      <c r="H47">
        <f t="shared" si="0"/>
        <v>9840</v>
      </c>
      <c r="I47">
        <f t="shared" si="1"/>
        <v>98400</v>
      </c>
    </row>
    <row r="48" spans="4:9" x14ac:dyDescent="0.25">
      <c r="D48" t="s">
        <v>305</v>
      </c>
      <c r="E48" t="s">
        <v>259</v>
      </c>
      <c r="F48">
        <v>27</v>
      </c>
      <c r="G48" s="27">
        <v>4</v>
      </c>
      <c r="H48">
        <f t="shared" si="0"/>
        <v>9810</v>
      </c>
      <c r="I48">
        <f t="shared" si="1"/>
        <v>98100</v>
      </c>
    </row>
    <row r="49" spans="4:9" x14ac:dyDescent="0.25">
      <c r="D49" t="s">
        <v>246</v>
      </c>
      <c r="E49" t="s">
        <v>239</v>
      </c>
      <c r="F49">
        <v>25</v>
      </c>
      <c r="G49" s="27">
        <v>4</v>
      </c>
      <c r="H49">
        <f t="shared" si="0"/>
        <v>9750</v>
      </c>
      <c r="I49">
        <f t="shared" si="1"/>
        <v>97500</v>
      </c>
    </row>
    <row r="50" spans="4:9" x14ac:dyDescent="0.25">
      <c r="D50" t="s">
        <v>263</v>
      </c>
      <c r="E50" t="s">
        <v>259</v>
      </c>
      <c r="F50">
        <v>25</v>
      </c>
      <c r="G50" s="27">
        <v>4</v>
      </c>
      <c r="H50">
        <f t="shared" si="0"/>
        <v>9750</v>
      </c>
      <c r="I50">
        <f t="shared" si="1"/>
        <v>97500</v>
      </c>
    </row>
    <row r="51" spans="4:9" x14ac:dyDescent="0.25">
      <c r="D51" t="s">
        <v>302</v>
      </c>
      <c r="E51" t="s">
        <v>239</v>
      </c>
      <c r="F51">
        <v>25</v>
      </c>
      <c r="G51" s="27">
        <v>4</v>
      </c>
      <c r="H51">
        <f t="shared" si="0"/>
        <v>9750</v>
      </c>
      <c r="I51">
        <f t="shared" si="1"/>
        <v>97500</v>
      </c>
    </row>
    <row r="52" spans="4:9" x14ac:dyDescent="0.25">
      <c r="D52" t="s">
        <v>322</v>
      </c>
      <c r="E52" t="s">
        <v>259</v>
      </c>
      <c r="F52">
        <v>25</v>
      </c>
      <c r="G52" s="27">
        <v>4</v>
      </c>
      <c r="H52">
        <f t="shared" si="0"/>
        <v>9750</v>
      </c>
      <c r="I52">
        <f t="shared" si="1"/>
        <v>97500</v>
      </c>
    </row>
    <row r="53" spans="4:9" x14ac:dyDescent="0.25">
      <c r="D53" t="s">
        <v>340</v>
      </c>
      <c r="E53" t="s">
        <v>237</v>
      </c>
      <c r="F53">
        <v>25</v>
      </c>
      <c r="G53" s="27">
        <v>4</v>
      </c>
      <c r="H53">
        <f t="shared" si="0"/>
        <v>9750</v>
      </c>
      <c r="I53">
        <f t="shared" si="1"/>
        <v>97500</v>
      </c>
    </row>
    <row r="54" spans="4:9" x14ac:dyDescent="0.25">
      <c r="D54" t="s">
        <v>341</v>
      </c>
      <c r="E54" t="s">
        <v>270</v>
      </c>
      <c r="F54">
        <v>25</v>
      </c>
      <c r="G54" s="27">
        <v>4</v>
      </c>
      <c r="H54">
        <f t="shared" si="0"/>
        <v>9750</v>
      </c>
      <c r="I54">
        <f t="shared" si="1"/>
        <v>97500</v>
      </c>
    </row>
    <row r="55" spans="4:9" x14ac:dyDescent="0.25">
      <c r="D55" t="s">
        <v>251</v>
      </c>
      <c r="E55" t="s">
        <v>232</v>
      </c>
      <c r="F55">
        <v>23</v>
      </c>
      <c r="G55" s="27">
        <v>4</v>
      </c>
      <c r="H55">
        <f t="shared" si="0"/>
        <v>9690</v>
      </c>
      <c r="I55">
        <f t="shared" si="1"/>
        <v>96900</v>
      </c>
    </row>
    <row r="56" spans="4:9" x14ac:dyDescent="0.25">
      <c r="D56" t="s">
        <v>327</v>
      </c>
      <c r="E56" t="s">
        <v>270</v>
      </c>
      <c r="F56">
        <v>22</v>
      </c>
      <c r="G56" s="27">
        <v>4</v>
      </c>
      <c r="H56">
        <f t="shared" si="0"/>
        <v>9660</v>
      </c>
      <c r="I56">
        <f t="shared" si="1"/>
        <v>96600</v>
      </c>
    </row>
    <row r="57" spans="4:9" x14ac:dyDescent="0.25">
      <c r="D57" t="s">
        <v>342</v>
      </c>
      <c r="E57" t="s">
        <v>232</v>
      </c>
      <c r="F57">
        <v>21</v>
      </c>
      <c r="G57" s="27">
        <v>4</v>
      </c>
      <c r="H57">
        <f t="shared" si="0"/>
        <v>9630</v>
      </c>
      <c r="I57">
        <f t="shared" si="1"/>
        <v>96300</v>
      </c>
    </row>
    <row r="58" spans="4:9" x14ac:dyDescent="0.25">
      <c r="D58" t="s">
        <v>260</v>
      </c>
      <c r="E58" t="s">
        <v>259</v>
      </c>
      <c r="F58">
        <v>20</v>
      </c>
      <c r="G58" s="27">
        <v>4</v>
      </c>
      <c r="H58">
        <f t="shared" si="0"/>
        <v>9600</v>
      </c>
      <c r="I58">
        <f t="shared" si="1"/>
        <v>96000</v>
      </c>
    </row>
    <row r="59" spans="4:9" x14ac:dyDescent="0.25">
      <c r="D59" t="s">
        <v>273</v>
      </c>
      <c r="E59" t="s">
        <v>270</v>
      </c>
      <c r="F59">
        <v>20</v>
      </c>
      <c r="G59" s="27">
        <v>4</v>
      </c>
      <c r="H59">
        <f t="shared" si="0"/>
        <v>9600</v>
      </c>
      <c r="I59">
        <f t="shared" si="1"/>
        <v>96000</v>
      </c>
    </row>
    <row r="60" spans="4:9" x14ac:dyDescent="0.25">
      <c r="D60" t="s">
        <v>309</v>
      </c>
      <c r="E60" t="s">
        <v>232</v>
      </c>
      <c r="F60">
        <v>20</v>
      </c>
      <c r="G60" s="27">
        <v>4</v>
      </c>
      <c r="H60">
        <f t="shared" si="0"/>
        <v>9600</v>
      </c>
      <c r="I60">
        <f t="shared" si="1"/>
        <v>96000</v>
      </c>
    </row>
    <row r="61" spans="4:9" x14ac:dyDescent="0.25">
      <c r="D61" t="s">
        <v>343</v>
      </c>
      <c r="E61" t="s">
        <v>288</v>
      </c>
      <c r="F61">
        <v>20</v>
      </c>
      <c r="G61" s="27">
        <v>4</v>
      </c>
      <c r="H61">
        <f t="shared" si="0"/>
        <v>9600</v>
      </c>
      <c r="I61">
        <f t="shared" si="1"/>
        <v>96000</v>
      </c>
    </row>
    <row r="62" spans="4:9" x14ac:dyDescent="0.25">
      <c r="D62" t="s">
        <v>290</v>
      </c>
      <c r="E62" t="s">
        <v>244</v>
      </c>
      <c r="F62">
        <v>19</v>
      </c>
      <c r="G62" s="27">
        <v>4</v>
      </c>
      <c r="H62">
        <f t="shared" si="0"/>
        <v>9570</v>
      </c>
      <c r="I62">
        <f t="shared" si="1"/>
        <v>95700</v>
      </c>
    </row>
    <row r="63" spans="4:9" x14ac:dyDescent="0.25">
      <c r="D63" t="s">
        <v>291</v>
      </c>
      <c r="E63" t="s">
        <v>232</v>
      </c>
      <c r="F63">
        <v>19</v>
      </c>
      <c r="G63" s="27">
        <v>4</v>
      </c>
      <c r="H63">
        <f t="shared" si="0"/>
        <v>9570</v>
      </c>
      <c r="I63">
        <f t="shared" si="1"/>
        <v>95700</v>
      </c>
    </row>
    <row r="64" spans="4:9" x14ac:dyDescent="0.25">
      <c r="D64" t="s">
        <v>235</v>
      </c>
      <c r="E64" t="s">
        <v>234</v>
      </c>
      <c r="F64">
        <v>18</v>
      </c>
      <c r="G64" s="27">
        <v>4</v>
      </c>
      <c r="H64">
        <f t="shared" si="0"/>
        <v>9540</v>
      </c>
      <c r="I64">
        <f t="shared" si="1"/>
        <v>95400</v>
      </c>
    </row>
    <row r="65" spans="4:9" x14ac:dyDescent="0.25">
      <c r="D65" t="s">
        <v>286</v>
      </c>
      <c r="E65" t="s">
        <v>232</v>
      </c>
      <c r="F65">
        <v>18</v>
      </c>
      <c r="G65" s="27">
        <v>4</v>
      </c>
      <c r="H65">
        <f t="shared" si="0"/>
        <v>9540</v>
      </c>
      <c r="I65">
        <f t="shared" si="1"/>
        <v>95400</v>
      </c>
    </row>
    <row r="66" spans="4:9" x14ac:dyDescent="0.25">
      <c r="D66" t="s">
        <v>334</v>
      </c>
      <c r="E66" t="s">
        <v>239</v>
      </c>
      <c r="F66">
        <v>18</v>
      </c>
      <c r="G66" s="27">
        <v>4</v>
      </c>
      <c r="H66">
        <f t="shared" si="0"/>
        <v>9540</v>
      </c>
      <c r="I66">
        <f t="shared" si="1"/>
        <v>95400</v>
      </c>
    </row>
    <row r="67" spans="4:9" x14ac:dyDescent="0.25">
      <c r="D67" t="s">
        <v>269</v>
      </c>
      <c r="E67" t="s">
        <v>270</v>
      </c>
      <c r="F67">
        <v>16</v>
      </c>
      <c r="G67" s="27">
        <v>4</v>
      </c>
      <c r="H67">
        <f t="shared" ref="H67:H107" si="2">($B$2+F67*40)*$B$3*(1+(IF($B$7&gt;G67,G67,$B$7)-1)/10)*$B$6*$B$9</f>
        <v>9480</v>
      </c>
      <c r="I67">
        <f t="shared" ref="I67:I107" si="3">H67*60/($B$5+$B$4)</f>
        <v>94800</v>
      </c>
    </row>
    <row r="68" spans="4:9" x14ac:dyDescent="0.25">
      <c r="D68" t="s">
        <v>278</v>
      </c>
      <c r="E68" t="s">
        <v>234</v>
      </c>
      <c r="F68">
        <v>16</v>
      </c>
      <c r="G68" s="27">
        <v>4</v>
      </c>
      <c r="H68">
        <f t="shared" si="2"/>
        <v>9480</v>
      </c>
      <c r="I68">
        <f t="shared" si="3"/>
        <v>94800</v>
      </c>
    </row>
    <row r="69" spans="4:9" x14ac:dyDescent="0.25">
      <c r="D69" t="s">
        <v>293</v>
      </c>
      <c r="E69" t="s">
        <v>239</v>
      </c>
      <c r="F69">
        <v>16</v>
      </c>
      <c r="G69" s="27">
        <v>4</v>
      </c>
      <c r="H69">
        <f t="shared" si="2"/>
        <v>9480</v>
      </c>
      <c r="I69">
        <f t="shared" si="3"/>
        <v>94800</v>
      </c>
    </row>
    <row r="70" spans="4:9" x14ac:dyDescent="0.25">
      <c r="D70" t="s">
        <v>257</v>
      </c>
      <c r="E70" t="s">
        <v>244</v>
      </c>
      <c r="F70">
        <v>15</v>
      </c>
      <c r="G70" s="27">
        <v>4</v>
      </c>
      <c r="H70">
        <f t="shared" si="2"/>
        <v>9450</v>
      </c>
      <c r="I70">
        <f t="shared" si="3"/>
        <v>94500</v>
      </c>
    </row>
    <row r="71" spans="4:9" x14ac:dyDescent="0.25">
      <c r="D71" t="s">
        <v>300</v>
      </c>
      <c r="E71" t="s">
        <v>270</v>
      </c>
      <c r="F71">
        <v>14</v>
      </c>
      <c r="G71" s="27">
        <v>4</v>
      </c>
      <c r="H71">
        <f t="shared" si="2"/>
        <v>9420</v>
      </c>
      <c r="I71">
        <f t="shared" si="3"/>
        <v>94200</v>
      </c>
    </row>
    <row r="72" spans="4:9" x14ac:dyDescent="0.25">
      <c r="D72" t="s">
        <v>253</v>
      </c>
      <c r="E72" t="s">
        <v>232</v>
      </c>
      <c r="F72">
        <v>70</v>
      </c>
      <c r="G72" s="27">
        <v>2</v>
      </c>
      <c r="H72">
        <f t="shared" si="2"/>
        <v>11100</v>
      </c>
      <c r="I72">
        <f t="shared" si="3"/>
        <v>111000</v>
      </c>
    </row>
    <row r="73" spans="4:9" x14ac:dyDescent="0.25">
      <c r="D73" t="s">
        <v>258</v>
      </c>
      <c r="E73" t="s">
        <v>259</v>
      </c>
      <c r="F73">
        <v>13</v>
      </c>
      <c r="G73" s="27">
        <v>4</v>
      </c>
      <c r="H73">
        <f t="shared" si="2"/>
        <v>9390</v>
      </c>
      <c r="I73">
        <f t="shared" si="3"/>
        <v>93900</v>
      </c>
    </row>
    <row r="74" spans="4:9" x14ac:dyDescent="0.25">
      <c r="D74" t="s">
        <v>252</v>
      </c>
      <c r="E74" t="s">
        <v>244</v>
      </c>
      <c r="F74">
        <v>12</v>
      </c>
      <c r="G74" s="27">
        <v>4</v>
      </c>
      <c r="H74">
        <f t="shared" si="2"/>
        <v>9360</v>
      </c>
      <c r="I74">
        <f t="shared" si="3"/>
        <v>93600</v>
      </c>
    </row>
    <row r="75" spans="4:9" x14ac:dyDescent="0.25">
      <c r="D75" t="s">
        <v>337</v>
      </c>
      <c r="E75" t="s">
        <v>237</v>
      </c>
      <c r="F75">
        <v>12</v>
      </c>
      <c r="G75" s="27">
        <v>4</v>
      </c>
      <c r="H75">
        <f t="shared" si="2"/>
        <v>9360</v>
      </c>
      <c r="I75">
        <f t="shared" si="3"/>
        <v>93600</v>
      </c>
    </row>
    <row r="76" spans="4:9" x14ac:dyDescent="0.25">
      <c r="D76" t="s">
        <v>240</v>
      </c>
      <c r="E76" t="s">
        <v>237</v>
      </c>
      <c r="F76">
        <v>10</v>
      </c>
      <c r="G76" s="27">
        <v>4</v>
      </c>
      <c r="H76">
        <f t="shared" si="2"/>
        <v>9300</v>
      </c>
      <c r="I76">
        <f t="shared" si="3"/>
        <v>93000</v>
      </c>
    </row>
    <row r="77" spans="4:9" x14ac:dyDescent="0.25">
      <c r="D77" t="s">
        <v>272</v>
      </c>
      <c r="E77" t="s">
        <v>237</v>
      </c>
      <c r="F77">
        <v>10</v>
      </c>
      <c r="G77" s="27">
        <v>4</v>
      </c>
      <c r="H77">
        <f t="shared" si="2"/>
        <v>9300</v>
      </c>
      <c r="I77">
        <f t="shared" si="3"/>
        <v>93000</v>
      </c>
    </row>
    <row r="78" spans="4:9" x14ac:dyDescent="0.25">
      <c r="D78" t="s">
        <v>306</v>
      </c>
      <c r="E78" t="s">
        <v>244</v>
      </c>
      <c r="F78">
        <v>10</v>
      </c>
      <c r="G78" s="27">
        <v>4</v>
      </c>
      <c r="H78">
        <f t="shared" si="2"/>
        <v>9300</v>
      </c>
      <c r="I78">
        <f t="shared" si="3"/>
        <v>93000</v>
      </c>
    </row>
    <row r="79" spans="4:9" x14ac:dyDescent="0.25">
      <c r="D79" t="s">
        <v>295</v>
      </c>
      <c r="E79" t="s">
        <v>244</v>
      </c>
      <c r="F79">
        <v>8</v>
      </c>
      <c r="G79" s="27">
        <v>4</v>
      </c>
      <c r="H79">
        <f t="shared" si="2"/>
        <v>9240</v>
      </c>
      <c r="I79">
        <f t="shared" si="3"/>
        <v>92400</v>
      </c>
    </row>
    <row r="80" spans="4:9" x14ac:dyDescent="0.25">
      <c r="D80" t="s">
        <v>267</v>
      </c>
      <c r="E80" t="s">
        <v>244</v>
      </c>
      <c r="F80">
        <v>7</v>
      </c>
      <c r="G80" s="27">
        <v>4</v>
      </c>
      <c r="H80">
        <f t="shared" si="2"/>
        <v>9210</v>
      </c>
      <c r="I80">
        <f t="shared" si="3"/>
        <v>92100</v>
      </c>
    </row>
    <row r="81" spans="4:9" x14ac:dyDescent="0.25">
      <c r="D81" t="s">
        <v>243</v>
      </c>
      <c r="E81" t="s">
        <v>244</v>
      </c>
      <c r="F81">
        <v>6</v>
      </c>
      <c r="G81" s="27">
        <v>4</v>
      </c>
      <c r="H81">
        <f t="shared" si="2"/>
        <v>9180</v>
      </c>
      <c r="I81">
        <f t="shared" si="3"/>
        <v>91800</v>
      </c>
    </row>
    <row r="82" spans="4:9" x14ac:dyDescent="0.25">
      <c r="D82" t="s">
        <v>261</v>
      </c>
      <c r="E82" t="s">
        <v>244</v>
      </c>
      <c r="F82">
        <v>6</v>
      </c>
      <c r="G82" s="27">
        <v>4</v>
      </c>
      <c r="H82">
        <f t="shared" si="2"/>
        <v>9180</v>
      </c>
      <c r="I82">
        <f t="shared" si="3"/>
        <v>91800</v>
      </c>
    </row>
    <row r="83" spans="4:9" x14ac:dyDescent="0.25">
      <c r="D83" t="s">
        <v>265</v>
      </c>
      <c r="E83" t="s">
        <v>244</v>
      </c>
      <c r="F83">
        <v>6</v>
      </c>
      <c r="G83" s="27">
        <v>4</v>
      </c>
      <c r="H83">
        <f t="shared" si="2"/>
        <v>9180</v>
      </c>
      <c r="I83">
        <f t="shared" si="3"/>
        <v>91800</v>
      </c>
    </row>
    <row r="84" spans="4:9" x14ac:dyDescent="0.25">
      <c r="D84" t="s">
        <v>297</v>
      </c>
      <c r="E84" t="s">
        <v>244</v>
      </c>
      <c r="F84">
        <v>6</v>
      </c>
      <c r="G84" s="27">
        <v>4</v>
      </c>
      <c r="H84">
        <f t="shared" si="2"/>
        <v>9180</v>
      </c>
      <c r="I84">
        <f t="shared" si="3"/>
        <v>91800</v>
      </c>
    </row>
    <row r="85" spans="4:9" x14ac:dyDescent="0.25">
      <c r="D85" t="s">
        <v>285</v>
      </c>
      <c r="E85" t="s">
        <v>237</v>
      </c>
      <c r="F85">
        <v>5</v>
      </c>
      <c r="G85" s="27">
        <v>4</v>
      </c>
      <c r="H85">
        <f t="shared" si="2"/>
        <v>9150</v>
      </c>
      <c r="I85">
        <f t="shared" si="3"/>
        <v>91500</v>
      </c>
    </row>
    <row r="86" spans="4:9" x14ac:dyDescent="0.25">
      <c r="D86" t="s">
        <v>298</v>
      </c>
      <c r="E86" t="s">
        <v>237</v>
      </c>
      <c r="F86">
        <v>5</v>
      </c>
      <c r="G86" s="27">
        <v>4</v>
      </c>
      <c r="H86">
        <f t="shared" si="2"/>
        <v>9150</v>
      </c>
      <c r="I86">
        <f t="shared" si="3"/>
        <v>91500</v>
      </c>
    </row>
    <row r="87" spans="4:9" x14ac:dyDescent="0.25">
      <c r="D87" t="s">
        <v>242</v>
      </c>
      <c r="E87" t="s">
        <v>232</v>
      </c>
      <c r="F87">
        <v>45</v>
      </c>
      <c r="G87" s="27">
        <v>2</v>
      </c>
      <c r="H87">
        <f t="shared" si="2"/>
        <v>10350</v>
      </c>
      <c r="I87">
        <f t="shared" si="3"/>
        <v>103500</v>
      </c>
    </row>
    <row r="88" spans="4:9" x14ac:dyDescent="0.25">
      <c r="D88" t="s">
        <v>310</v>
      </c>
      <c r="E88" t="s">
        <v>232</v>
      </c>
      <c r="F88">
        <v>44</v>
      </c>
      <c r="G88" s="27">
        <v>2</v>
      </c>
      <c r="H88">
        <f t="shared" si="2"/>
        <v>10320</v>
      </c>
      <c r="I88">
        <f t="shared" si="3"/>
        <v>103200</v>
      </c>
    </row>
    <row r="89" spans="4:9" x14ac:dyDescent="0.25">
      <c r="D89" t="s">
        <v>249</v>
      </c>
      <c r="E89" t="s">
        <v>232</v>
      </c>
      <c r="F89">
        <v>40</v>
      </c>
      <c r="G89" s="27">
        <v>2</v>
      </c>
      <c r="H89">
        <f t="shared" si="2"/>
        <v>10200</v>
      </c>
      <c r="I89">
        <f t="shared" si="3"/>
        <v>102000</v>
      </c>
    </row>
    <row r="90" spans="4:9" x14ac:dyDescent="0.25">
      <c r="D90" t="s">
        <v>281</v>
      </c>
      <c r="E90" t="s">
        <v>232</v>
      </c>
      <c r="F90">
        <v>35</v>
      </c>
      <c r="G90" s="27">
        <v>2</v>
      </c>
      <c r="H90">
        <f t="shared" si="2"/>
        <v>10050</v>
      </c>
      <c r="I90">
        <f t="shared" si="3"/>
        <v>100500</v>
      </c>
    </row>
    <row r="91" spans="4:9" x14ac:dyDescent="0.25">
      <c r="D91" t="s">
        <v>276</v>
      </c>
      <c r="E91" t="s">
        <v>237</v>
      </c>
      <c r="F91">
        <v>31</v>
      </c>
      <c r="G91" s="27">
        <v>2</v>
      </c>
      <c r="H91">
        <f t="shared" si="2"/>
        <v>9930</v>
      </c>
      <c r="I91">
        <f t="shared" si="3"/>
        <v>99300</v>
      </c>
    </row>
    <row r="92" spans="4:9" x14ac:dyDescent="0.25">
      <c r="D92" t="s">
        <v>279</v>
      </c>
      <c r="E92" t="s">
        <v>234</v>
      </c>
      <c r="F92">
        <v>25</v>
      </c>
      <c r="G92" s="27">
        <v>2</v>
      </c>
      <c r="H92">
        <f t="shared" si="2"/>
        <v>9750</v>
      </c>
      <c r="I92">
        <f t="shared" si="3"/>
        <v>97500</v>
      </c>
    </row>
    <row r="93" spans="4:9" x14ac:dyDescent="0.25">
      <c r="D93" t="s">
        <v>324</v>
      </c>
      <c r="E93" t="s">
        <v>270</v>
      </c>
      <c r="F93">
        <v>25</v>
      </c>
      <c r="G93" s="27">
        <v>2</v>
      </c>
      <c r="H93">
        <f t="shared" si="2"/>
        <v>9750</v>
      </c>
      <c r="I93">
        <f t="shared" si="3"/>
        <v>97500</v>
      </c>
    </row>
    <row r="94" spans="4:9" x14ac:dyDescent="0.25">
      <c r="D94" t="s">
        <v>274</v>
      </c>
      <c r="E94" t="s">
        <v>232</v>
      </c>
      <c r="F94">
        <v>22</v>
      </c>
      <c r="G94" s="27">
        <v>2</v>
      </c>
      <c r="H94">
        <f t="shared" si="2"/>
        <v>9660</v>
      </c>
      <c r="I94">
        <f t="shared" si="3"/>
        <v>96600</v>
      </c>
    </row>
    <row r="95" spans="4:9" x14ac:dyDescent="0.25">
      <c r="D95" t="s">
        <v>233</v>
      </c>
      <c r="E95" t="s">
        <v>234</v>
      </c>
      <c r="F95">
        <v>20</v>
      </c>
      <c r="G95" s="27">
        <v>2</v>
      </c>
      <c r="H95">
        <f t="shared" si="2"/>
        <v>9600</v>
      </c>
      <c r="I95">
        <f t="shared" si="3"/>
        <v>96000</v>
      </c>
    </row>
    <row r="96" spans="4:9" x14ac:dyDescent="0.25">
      <c r="D96" t="s">
        <v>241</v>
      </c>
      <c r="E96" t="s">
        <v>232</v>
      </c>
      <c r="F96">
        <v>20</v>
      </c>
      <c r="G96" s="27">
        <v>2</v>
      </c>
      <c r="H96">
        <f t="shared" si="2"/>
        <v>9600</v>
      </c>
      <c r="I96">
        <f t="shared" si="3"/>
        <v>96000</v>
      </c>
    </row>
    <row r="97" spans="4:9" x14ac:dyDescent="0.25">
      <c r="D97" t="s">
        <v>275</v>
      </c>
      <c r="E97" t="s">
        <v>237</v>
      </c>
      <c r="F97">
        <v>20</v>
      </c>
      <c r="G97" s="27">
        <v>2</v>
      </c>
      <c r="H97">
        <f t="shared" si="2"/>
        <v>9600</v>
      </c>
      <c r="I97">
        <f t="shared" si="3"/>
        <v>96000</v>
      </c>
    </row>
    <row r="98" spans="4:9" x14ac:dyDescent="0.25">
      <c r="D98" t="s">
        <v>284</v>
      </c>
      <c r="E98" t="s">
        <v>234</v>
      </c>
      <c r="F98">
        <v>20</v>
      </c>
      <c r="G98" s="27">
        <v>2</v>
      </c>
      <c r="H98">
        <f t="shared" si="2"/>
        <v>9600</v>
      </c>
      <c r="I98">
        <f t="shared" si="3"/>
        <v>96000</v>
      </c>
    </row>
    <row r="99" spans="4:9" x14ac:dyDescent="0.25">
      <c r="D99" t="s">
        <v>266</v>
      </c>
      <c r="E99" t="s">
        <v>239</v>
      </c>
      <c r="F99">
        <v>19</v>
      </c>
      <c r="G99" s="27">
        <v>2</v>
      </c>
      <c r="H99">
        <f t="shared" si="2"/>
        <v>9570</v>
      </c>
      <c r="I99">
        <f t="shared" si="3"/>
        <v>95700</v>
      </c>
    </row>
    <row r="100" spans="4:9" x14ac:dyDescent="0.25">
      <c r="D100" t="s">
        <v>304</v>
      </c>
      <c r="E100" t="s">
        <v>270</v>
      </c>
      <c r="F100">
        <v>19</v>
      </c>
      <c r="G100" s="27">
        <v>2</v>
      </c>
      <c r="H100">
        <f t="shared" si="2"/>
        <v>9570</v>
      </c>
      <c r="I100">
        <f t="shared" si="3"/>
        <v>95700</v>
      </c>
    </row>
    <row r="101" spans="4:9" x14ac:dyDescent="0.25">
      <c r="D101" t="s">
        <v>245</v>
      </c>
      <c r="E101" t="s">
        <v>237</v>
      </c>
      <c r="F101">
        <v>16</v>
      </c>
      <c r="G101" s="27">
        <v>2</v>
      </c>
      <c r="H101">
        <f t="shared" si="2"/>
        <v>9480</v>
      </c>
      <c r="I101">
        <f t="shared" si="3"/>
        <v>94800</v>
      </c>
    </row>
    <row r="102" spans="4:9" x14ac:dyDescent="0.25">
      <c r="D102" t="s">
        <v>236</v>
      </c>
      <c r="E102" t="s">
        <v>237</v>
      </c>
      <c r="F102">
        <v>12</v>
      </c>
      <c r="G102" s="27">
        <v>2</v>
      </c>
      <c r="H102">
        <f t="shared" si="2"/>
        <v>9360</v>
      </c>
      <c r="I102">
        <f t="shared" si="3"/>
        <v>93600</v>
      </c>
    </row>
    <row r="103" spans="4:9" x14ac:dyDescent="0.25">
      <c r="D103" t="s">
        <v>247</v>
      </c>
      <c r="E103" t="s">
        <v>237</v>
      </c>
      <c r="F103">
        <v>10</v>
      </c>
      <c r="G103" s="27">
        <v>2</v>
      </c>
      <c r="H103">
        <f t="shared" si="2"/>
        <v>9300</v>
      </c>
      <c r="I103">
        <f t="shared" si="3"/>
        <v>93000</v>
      </c>
    </row>
    <row r="104" spans="4:9" x14ac:dyDescent="0.25">
      <c r="D104" t="s">
        <v>250</v>
      </c>
      <c r="E104" t="s">
        <v>237</v>
      </c>
      <c r="F104">
        <v>5</v>
      </c>
      <c r="G104" s="27">
        <v>2</v>
      </c>
      <c r="H104">
        <f t="shared" si="2"/>
        <v>9150</v>
      </c>
      <c r="I104">
        <f t="shared" si="3"/>
        <v>91500</v>
      </c>
    </row>
    <row r="105" spans="4:9" x14ac:dyDescent="0.25">
      <c r="D105" t="s">
        <v>280</v>
      </c>
      <c r="E105" t="s">
        <v>237</v>
      </c>
      <c r="F105">
        <v>5</v>
      </c>
      <c r="G105" s="27">
        <v>2</v>
      </c>
      <c r="H105">
        <f t="shared" si="2"/>
        <v>9150</v>
      </c>
      <c r="I105">
        <f t="shared" si="3"/>
        <v>91500</v>
      </c>
    </row>
    <row r="106" spans="4:9" x14ac:dyDescent="0.25">
      <c r="D106" t="s">
        <v>296</v>
      </c>
      <c r="E106" t="s">
        <v>237</v>
      </c>
      <c r="F106">
        <v>5</v>
      </c>
      <c r="G106" s="27">
        <v>2</v>
      </c>
      <c r="H106">
        <f t="shared" si="2"/>
        <v>9150</v>
      </c>
      <c r="I106">
        <f t="shared" si="3"/>
        <v>91500</v>
      </c>
    </row>
    <row r="107" spans="4:9" x14ac:dyDescent="0.25">
      <c r="D107" t="s">
        <v>308</v>
      </c>
      <c r="E107" t="s">
        <v>234</v>
      </c>
      <c r="F107">
        <v>5</v>
      </c>
      <c r="G107" s="27">
        <v>2</v>
      </c>
      <c r="H107">
        <f t="shared" si="2"/>
        <v>9150</v>
      </c>
      <c r="I107">
        <f t="shared" si="3"/>
        <v>91500</v>
      </c>
    </row>
  </sheetData>
  <sortState ref="D2:H110">
    <sortCondition descending="1" ref="H1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="97" workbookViewId="0">
      <selection activeCell="B23" sqref="B23"/>
    </sheetView>
  </sheetViews>
  <sheetFormatPr baseColWidth="10" defaultRowHeight="15" x14ac:dyDescent="0.25"/>
  <cols>
    <col min="1" max="1" width="24.28515625" bestFit="1" customWidth="1"/>
    <col min="4" max="4" width="12.28515625" bestFit="1" customWidth="1"/>
  </cols>
  <sheetData>
    <row r="1" spans="1:8" x14ac:dyDescent="0.25">
      <c r="A1" t="s">
        <v>147</v>
      </c>
      <c r="B1" t="s">
        <v>148</v>
      </c>
      <c r="C1" t="s">
        <v>149</v>
      </c>
      <c r="E1" t="s">
        <v>464</v>
      </c>
    </row>
    <row r="2" spans="1:8" x14ac:dyDescent="0.2">
      <c r="A2" t="s">
        <v>439</v>
      </c>
      <c r="B2" s="3">
        <f>(-B9+D9*E9*$B$15)/B22*60</f>
        <v>168906.25</v>
      </c>
      <c r="C2" s="3">
        <f>D9*$B$15*(1-E9)/B22*60</f>
        <v>161718.74999999997</v>
      </c>
      <c r="E2">
        <f>(B2+C2)/2</f>
        <v>165312.5</v>
      </c>
      <c r="F2" t="s">
        <v>150</v>
      </c>
      <c r="G2">
        <v>2</v>
      </c>
      <c r="H2" s="3"/>
    </row>
    <row r="3" spans="1:8" x14ac:dyDescent="0.2">
      <c r="A3" t="s">
        <v>151</v>
      </c>
      <c r="B3" s="3">
        <f>(-B10+D10*E10*$B$15)/B30*60</f>
        <v>145161.29032258067</v>
      </c>
      <c r="C3" s="3">
        <f>D10*$B$15*(1-E10)/3/B30*60</f>
        <v>96774.193548387106</v>
      </c>
      <c r="E3">
        <f>(B3+3*C3)/4</f>
        <v>108870.9677419355</v>
      </c>
      <c r="F3" t="s">
        <v>435</v>
      </c>
      <c r="G3">
        <v>4</v>
      </c>
    </row>
    <row r="4" spans="1:8" x14ac:dyDescent="0.2">
      <c r="A4" t="s">
        <v>438</v>
      </c>
      <c r="B4" s="3">
        <f>(-B11+D11*E11*$B$15)/B39*60</f>
        <v>153150</v>
      </c>
      <c r="C4" s="3">
        <f>D11*$B$15*(1-E11)/3/B39*60</f>
        <v>101700</v>
      </c>
      <c r="E4">
        <f>(B4+3*C4)/4</f>
        <v>114562.5</v>
      </c>
      <c r="F4" t="s">
        <v>436</v>
      </c>
      <c r="G4">
        <v>4</v>
      </c>
    </row>
    <row r="5" spans="1:8" x14ac:dyDescent="0.25">
      <c r="A5" t="s">
        <v>153</v>
      </c>
      <c r="B5" s="3">
        <f>(-B12+D12*E12*$B$15)/B48*60</f>
        <v>138514.28571428571</v>
      </c>
      <c r="C5" s="3">
        <f>D12*$B$15*(1-E12)/3/B48*60</f>
        <v>86571.42857142858</v>
      </c>
      <c r="E5">
        <f>(B5+3*C5)/4</f>
        <v>99557.14285714287</v>
      </c>
      <c r="F5" t="s">
        <v>437</v>
      </c>
      <c r="G5">
        <v>4</v>
      </c>
    </row>
    <row r="6" spans="1:8" x14ac:dyDescent="0.2">
      <c r="A6" t="s">
        <v>154</v>
      </c>
      <c r="B6" s="3">
        <f>(-B13+D13*E13*$B$15)/B57*60</f>
        <v>358208.95522388059</v>
      </c>
      <c r="C6" s="3">
        <f>D13*$B$15*(1-E13)/3/B57*60</f>
        <v>223880.59701492538</v>
      </c>
      <c r="E6">
        <f>(B6+3*C6)/4</f>
        <v>257462.68656716417</v>
      </c>
      <c r="F6" t="s">
        <v>434</v>
      </c>
      <c r="G6">
        <v>4</v>
      </c>
    </row>
    <row r="8" spans="1:8" x14ac:dyDescent="0.25">
      <c r="B8" t="s">
        <v>132</v>
      </c>
      <c r="C8" t="s">
        <v>162</v>
      </c>
      <c r="D8" t="s">
        <v>185</v>
      </c>
      <c r="E8" t="s">
        <v>186</v>
      </c>
    </row>
    <row r="9" spans="1:8" x14ac:dyDescent="0.2">
      <c r="A9" t="s">
        <v>150</v>
      </c>
      <c r="B9">
        <v>11500</v>
      </c>
      <c r="C9">
        <v>0</v>
      </c>
      <c r="D9">
        <v>143750</v>
      </c>
      <c r="E9" s="10">
        <v>0.55000000000000004</v>
      </c>
    </row>
    <row r="10" spans="1:8" x14ac:dyDescent="0.2">
      <c r="A10" t="s">
        <v>151</v>
      </c>
      <c r="B10">
        <v>50000</v>
      </c>
      <c r="C10">
        <v>19000</v>
      </c>
      <c r="D10">
        <v>500000</v>
      </c>
      <c r="E10" s="10">
        <v>0.4</v>
      </c>
    </row>
    <row r="11" spans="1:8" x14ac:dyDescent="0.2">
      <c r="A11" t="s">
        <v>152</v>
      </c>
      <c r="B11">
        <v>67000</v>
      </c>
      <c r="C11">
        <v>25650</v>
      </c>
      <c r="D11">
        <v>678000</v>
      </c>
      <c r="E11" s="10">
        <v>0.4</v>
      </c>
    </row>
    <row r="12" spans="1:8" x14ac:dyDescent="0.25">
      <c r="A12" t="s">
        <v>153</v>
      </c>
      <c r="B12">
        <v>40400</v>
      </c>
      <c r="C12">
        <v>19190</v>
      </c>
      <c r="D12">
        <v>505000</v>
      </c>
      <c r="E12" s="10">
        <v>0.4</v>
      </c>
    </row>
    <row r="13" spans="1:8" x14ac:dyDescent="0.2">
      <c r="A13" t="s">
        <v>154</v>
      </c>
      <c r="B13">
        <v>100000</v>
      </c>
      <c r="C13">
        <v>26130</v>
      </c>
      <c r="D13">
        <v>1250000</v>
      </c>
      <c r="E13" s="10">
        <v>0.4</v>
      </c>
    </row>
    <row r="15" spans="1:8" x14ac:dyDescent="0.2">
      <c r="A15" t="s">
        <v>139</v>
      </c>
      <c r="B15" s="114">
        <f>Rendements!D13</f>
        <v>1</v>
      </c>
    </row>
    <row r="17" spans="1:2" x14ac:dyDescent="0.25">
      <c r="A17" s="144" t="s">
        <v>101</v>
      </c>
      <c r="B17" s="144"/>
    </row>
    <row r="18" spans="1:2" x14ac:dyDescent="0.2">
      <c r="A18" t="s">
        <v>158</v>
      </c>
    </row>
    <row r="19" spans="1:2" x14ac:dyDescent="0.25">
      <c r="A19" t="s">
        <v>155</v>
      </c>
      <c r="B19" s="1">
        <v>9</v>
      </c>
    </row>
    <row r="20" spans="1:2" x14ac:dyDescent="0.2">
      <c r="A20" t="s">
        <v>156</v>
      </c>
      <c r="B20" s="1">
        <v>7</v>
      </c>
    </row>
    <row r="21" spans="1:2" x14ac:dyDescent="0.25">
      <c r="A21" t="s">
        <v>157</v>
      </c>
      <c r="B21" s="1">
        <v>8</v>
      </c>
    </row>
    <row r="22" spans="1:2" x14ac:dyDescent="0.25">
      <c r="A22" t="s">
        <v>111</v>
      </c>
      <c r="B22">
        <f>SUM(B19:B21)</f>
        <v>24</v>
      </c>
    </row>
    <row r="24" spans="1:2" x14ac:dyDescent="0.25">
      <c r="A24" t="s">
        <v>159</v>
      </c>
    </row>
    <row r="25" spans="1:2" x14ac:dyDescent="0.25">
      <c r="A25" t="s">
        <v>160</v>
      </c>
      <c r="B25" s="1">
        <v>13</v>
      </c>
    </row>
    <row r="26" spans="1:2" x14ac:dyDescent="0.25">
      <c r="A26" t="s">
        <v>161</v>
      </c>
      <c r="B26" s="1">
        <v>8</v>
      </c>
    </row>
    <row r="27" spans="1:2" x14ac:dyDescent="0.25">
      <c r="A27" t="s">
        <v>163</v>
      </c>
      <c r="B27" s="1">
        <v>10</v>
      </c>
    </row>
    <row r="28" spans="1:2" x14ac:dyDescent="0.25">
      <c r="A28" t="s">
        <v>164</v>
      </c>
      <c r="B28" s="1">
        <v>8</v>
      </c>
    </row>
    <row r="29" spans="1:2" x14ac:dyDescent="0.25">
      <c r="A29" t="s">
        <v>165</v>
      </c>
      <c r="B29" s="1">
        <v>23</v>
      </c>
    </row>
    <row r="30" spans="1:2" x14ac:dyDescent="0.25">
      <c r="A30" t="s">
        <v>111</v>
      </c>
      <c r="B30">
        <f>SUM(B25:B29)</f>
        <v>62</v>
      </c>
    </row>
    <row r="32" spans="1:2" x14ac:dyDescent="0.25">
      <c r="A32" t="s">
        <v>166</v>
      </c>
    </row>
    <row r="33" spans="1:2" x14ac:dyDescent="0.25">
      <c r="A33" t="s">
        <v>167</v>
      </c>
      <c r="B33" s="1">
        <v>8</v>
      </c>
    </row>
    <row r="34" spans="1:2" x14ac:dyDescent="0.25">
      <c r="A34" t="s">
        <v>168</v>
      </c>
      <c r="B34" s="1">
        <v>11</v>
      </c>
    </row>
    <row r="35" spans="1:2" x14ac:dyDescent="0.25">
      <c r="A35" t="s">
        <v>169</v>
      </c>
      <c r="B35" s="1">
        <v>15</v>
      </c>
    </row>
    <row r="36" spans="1:2" x14ac:dyDescent="0.25">
      <c r="A36" t="s">
        <v>170</v>
      </c>
      <c r="B36" s="1">
        <v>14</v>
      </c>
    </row>
    <row r="37" spans="1:2" x14ac:dyDescent="0.25">
      <c r="A37" t="s">
        <v>171</v>
      </c>
      <c r="B37" s="1">
        <v>17</v>
      </c>
    </row>
    <row r="38" spans="1:2" x14ac:dyDescent="0.25">
      <c r="A38" t="s">
        <v>172</v>
      </c>
      <c r="B38" s="1">
        <v>15</v>
      </c>
    </row>
    <row r="39" spans="1:2" x14ac:dyDescent="0.25">
      <c r="A39" t="s">
        <v>111</v>
      </c>
      <c r="B39">
        <f>SUM(B33:B38)</f>
        <v>80</v>
      </c>
    </row>
    <row r="41" spans="1:2" x14ac:dyDescent="0.25">
      <c r="A41" t="s">
        <v>173</v>
      </c>
    </row>
    <row r="42" spans="1:2" x14ac:dyDescent="0.25">
      <c r="A42" t="s">
        <v>4</v>
      </c>
      <c r="B42" s="1">
        <v>8</v>
      </c>
    </row>
    <row r="43" spans="1:2" x14ac:dyDescent="0.25">
      <c r="A43" t="s">
        <v>174</v>
      </c>
      <c r="B43" s="1">
        <v>12</v>
      </c>
    </row>
    <row r="44" spans="1:2" x14ac:dyDescent="0.25">
      <c r="A44" t="s">
        <v>175</v>
      </c>
      <c r="B44" s="1">
        <v>14</v>
      </c>
    </row>
    <row r="45" spans="1:2" x14ac:dyDescent="0.25">
      <c r="A45" t="s">
        <v>176</v>
      </c>
      <c r="B45" s="1">
        <v>14</v>
      </c>
    </row>
    <row r="46" spans="1:2" x14ac:dyDescent="0.25">
      <c r="A46" t="s">
        <v>3</v>
      </c>
      <c r="B46" s="1">
        <v>10</v>
      </c>
    </row>
    <row r="47" spans="1:2" x14ac:dyDescent="0.25">
      <c r="A47" t="s">
        <v>177</v>
      </c>
      <c r="B47" s="1">
        <v>12</v>
      </c>
    </row>
    <row r="48" spans="1:2" x14ac:dyDescent="0.25">
      <c r="A48" t="s">
        <v>111</v>
      </c>
      <c r="B48">
        <f>SUM(B42:B47)</f>
        <v>70</v>
      </c>
    </row>
    <row r="50" spans="1:2" x14ac:dyDescent="0.25">
      <c r="A50" t="s">
        <v>184</v>
      </c>
    </row>
    <row r="51" spans="1:2" x14ac:dyDescent="0.25">
      <c r="A51" t="s">
        <v>178</v>
      </c>
      <c r="B51" s="1">
        <v>7</v>
      </c>
    </row>
    <row r="52" spans="1:2" x14ac:dyDescent="0.25">
      <c r="A52" t="s">
        <v>179</v>
      </c>
      <c r="B52" s="1">
        <v>16</v>
      </c>
    </row>
    <row r="53" spans="1:2" x14ac:dyDescent="0.25">
      <c r="A53" t="s">
        <v>180</v>
      </c>
      <c r="B53" s="1">
        <v>10</v>
      </c>
    </row>
    <row r="54" spans="1:2" x14ac:dyDescent="0.25">
      <c r="A54" t="s">
        <v>181</v>
      </c>
      <c r="B54" s="1">
        <v>12</v>
      </c>
    </row>
    <row r="55" spans="1:2" x14ac:dyDescent="0.25">
      <c r="A55" t="s">
        <v>182</v>
      </c>
      <c r="B55" s="1">
        <v>6</v>
      </c>
    </row>
    <row r="56" spans="1:2" x14ac:dyDescent="0.25">
      <c r="A56" t="s">
        <v>183</v>
      </c>
      <c r="B56" s="1">
        <v>16</v>
      </c>
    </row>
    <row r="57" spans="1:2" x14ac:dyDescent="0.25">
      <c r="A57" t="s">
        <v>111</v>
      </c>
      <c r="B57">
        <f>SUM(B51:B56)</f>
        <v>67</v>
      </c>
    </row>
  </sheetData>
  <mergeCells count="1">
    <mergeCell ref="A17:B17"/>
  </mergeCells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workbookViewId="0">
      <selection activeCell="U14" sqref="U14"/>
    </sheetView>
  </sheetViews>
  <sheetFormatPr baseColWidth="10" defaultRowHeight="15" x14ac:dyDescent="0.25"/>
  <cols>
    <col min="1" max="1" width="20.7109375" bestFit="1" customWidth="1"/>
    <col min="4" max="7" width="3.7109375" customWidth="1"/>
    <col min="8" max="11" width="8.28515625" customWidth="1"/>
    <col min="12" max="12" width="7.5703125" customWidth="1"/>
    <col min="13" max="13" width="19.140625" bestFit="1" customWidth="1"/>
    <col min="14" max="14" width="8.28515625" bestFit="1" customWidth="1"/>
    <col min="15" max="15" width="6" bestFit="1" customWidth="1"/>
    <col min="16" max="19" width="3.7109375" customWidth="1"/>
    <col min="20" max="23" width="8.28515625" customWidth="1"/>
  </cols>
  <sheetData>
    <row r="1" spans="1:30" x14ac:dyDescent="0.25">
      <c r="A1" s="145" t="s">
        <v>145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88"/>
      <c r="M1" s="145" t="s">
        <v>465</v>
      </c>
      <c r="N1" s="145"/>
      <c r="O1" s="145"/>
      <c r="P1" s="145"/>
      <c r="Q1" s="145"/>
      <c r="R1" s="145"/>
      <c r="S1" s="145"/>
      <c r="T1" s="145"/>
      <c r="U1" s="145"/>
      <c r="V1" s="145"/>
      <c r="W1" s="145"/>
      <c r="Y1" s="145" t="s">
        <v>466</v>
      </c>
      <c r="Z1" s="145"/>
      <c r="AA1" s="145"/>
      <c r="AB1" s="145"/>
      <c r="AC1" s="145"/>
    </row>
    <row r="2" spans="1:30" x14ac:dyDescent="0.25">
      <c r="A2" t="s">
        <v>359</v>
      </c>
      <c r="B2" t="s">
        <v>361</v>
      </c>
      <c r="C2" t="s">
        <v>90</v>
      </c>
      <c r="D2" s="144" t="s">
        <v>360</v>
      </c>
      <c r="E2" s="144"/>
      <c r="F2" s="144"/>
      <c r="G2" s="144"/>
      <c r="H2" s="144" t="s">
        <v>378</v>
      </c>
      <c r="I2" s="144"/>
      <c r="J2" s="144"/>
      <c r="K2" s="144"/>
      <c r="M2" t="s">
        <v>359</v>
      </c>
      <c r="N2" t="s">
        <v>361</v>
      </c>
      <c r="O2" t="s">
        <v>90</v>
      </c>
      <c r="P2" s="144" t="s">
        <v>360</v>
      </c>
      <c r="Q2" s="144"/>
      <c r="R2" s="144"/>
      <c r="S2" s="144"/>
      <c r="T2" s="144" t="s">
        <v>378</v>
      </c>
      <c r="U2" s="144"/>
      <c r="V2" s="144"/>
      <c r="W2" s="144"/>
      <c r="Y2" t="s">
        <v>389</v>
      </c>
      <c r="Z2">
        <v>1</v>
      </c>
      <c r="AA2">
        <v>2</v>
      </c>
      <c r="AB2">
        <v>3</v>
      </c>
      <c r="AC2" t="s">
        <v>420</v>
      </c>
    </row>
    <row r="3" spans="1:30" x14ac:dyDescent="0.25">
      <c r="A3" t="s">
        <v>389</v>
      </c>
      <c r="D3">
        <v>1</v>
      </c>
      <c r="E3">
        <v>2</v>
      </c>
      <c r="F3">
        <v>3</v>
      </c>
      <c r="G3">
        <v>4</v>
      </c>
      <c r="H3">
        <v>1</v>
      </c>
      <c r="I3">
        <v>2</v>
      </c>
      <c r="J3">
        <v>3</v>
      </c>
      <c r="K3">
        <v>4</v>
      </c>
      <c r="M3" t="s">
        <v>389</v>
      </c>
      <c r="P3">
        <v>1</v>
      </c>
      <c r="Q3">
        <v>2</v>
      </c>
      <c r="R3">
        <v>3</v>
      </c>
      <c r="S3">
        <v>4</v>
      </c>
      <c r="T3">
        <v>1</v>
      </c>
      <c r="U3">
        <v>2</v>
      </c>
      <c r="V3">
        <v>3</v>
      </c>
      <c r="W3">
        <v>4</v>
      </c>
      <c r="Y3" t="s">
        <v>355</v>
      </c>
      <c r="Z3">
        <f>(C9*2+C10*2+O4+O5+O6+O7)*B22</f>
        <v>208000</v>
      </c>
      <c r="AA3">
        <f>(C9*2+C10*2+O4+O5+O6+O7)*B22</f>
        <v>208000</v>
      </c>
      <c r="AB3">
        <f>(C9*2+C10*2+O4+O5+O6+O7)*B22</f>
        <v>208000</v>
      </c>
      <c r="AC3">
        <f>(C9*2+C10*2+O4+O5+O6+O7)*B22</f>
        <v>208000</v>
      </c>
    </row>
    <row r="4" spans="1:30" x14ac:dyDescent="0.25">
      <c r="A4" t="s">
        <v>363</v>
      </c>
      <c r="B4">
        <v>5</v>
      </c>
      <c r="C4">
        <v>22000</v>
      </c>
      <c r="D4">
        <v>6</v>
      </c>
      <c r="E4">
        <v>6</v>
      </c>
      <c r="F4">
        <v>6</v>
      </c>
      <c r="G4">
        <v>6</v>
      </c>
      <c r="H4">
        <f>$C$4/D4</f>
        <v>3666.6666666666665</v>
      </c>
      <c r="I4">
        <f t="shared" ref="I4:K19" si="0">$C$4/E4</f>
        <v>3666.6666666666665</v>
      </c>
      <c r="J4">
        <f t="shared" si="0"/>
        <v>3666.6666666666665</v>
      </c>
      <c r="K4">
        <f t="shared" si="0"/>
        <v>3666.6666666666665</v>
      </c>
      <c r="M4" t="s">
        <v>385</v>
      </c>
      <c r="N4">
        <v>30</v>
      </c>
      <c r="O4">
        <v>31000</v>
      </c>
      <c r="P4">
        <v>5</v>
      </c>
      <c r="Q4">
        <v>4</v>
      </c>
      <c r="R4">
        <v>4</v>
      </c>
      <c r="S4">
        <v>4</v>
      </c>
      <c r="T4" s="3">
        <f>$O4/P4</f>
        <v>6200</v>
      </c>
      <c r="U4" s="3">
        <f t="shared" ref="U4:W4" si="1">$O4/Q4</f>
        <v>7750</v>
      </c>
      <c r="V4" s="3">
        <f t="shared" si="1"/>
        <v>7750</v>
      </c>
      <c r="W4" s="3">
        <f t="shared" si="1"/>
        <v>7750</v>
      </c>
      <c r="Y4" t="s">
        <v>351</v>
      </c>
      <c r="Z4">
        <f>D9*2+D10*2+P4+P5+P6+P7+$B$23*8</f>
        <v>41.3</v>
      </c>
      <c r="AA4">
        <f>E9*2+E10*2+Q4+Q5+Q6+Q7+$B$23*8</f>
        <v>33.200000000000003</v>
      </c>
      <c r="AB4">
        <f>F9*2+F10*2+R4+R5+R6+R7+$B$23*8</f>
        <v>31.6</v>
      </c>
      <c r="AC4">
        <f>G9*2+G10*2+S4+S5+S6+S7+$B$23*8</f>
        <v>30.2</v>
      </c>
    </row>
    <row r="5" spans="1:30" x14ac:dyDescent="0.25">
      <c r="A5" t="s">
        <v>377</v>
      </c>
      <c r="B5">
        <v>5</v>
      </c>
      <c r="C5">
        <v>22000</v>
      </c>
      <c r="D5">
        <v>6</v>
      </c>
      <c r="E5">
        <v>6</v>
      </c>
      <c r="F5">
        <v>6</v>
      </c>
      <c r="G5">
        <v>6</v>
      </c>
      <c r="H5">
        <f t="shared" ref="H5:H20" si="2">$C$4/D5</f>
        <v>3666.6666666666665</v>
      </c>
      <c r="I5">
        <f t="shared" si="0"/>
        <v>3666.6666666666665</v>
      </c>
      <c r="J5">
        <f t="shared" si="0"/>
        <v>3666.6666666666665</v>
      </c>
      <c r="K5">
        <f t="shared" si="0"/>
        <v>3666.6666666666665</v>
      </c>
      <c r="M5" t="s">
        <v>386</v>
      </c>
      <c r="N5">
        <v>30</v>
      </c>
      <c r="O5">
        <v>31000</v>
      </c>
      <c r="P5">
        <v>8</v>
      </c>
      <c r="Q5">
        <v>6</v>
      </c>
      <c r="R5">
        <v>5</v>
      </c>
      <c r="S5">
        <v>4</v>
      </c>
      <c r="T5" s="3">
        <f>$O5/P5</f>
        <v>3875</v>
      </c>
      <c r="U5" s="3">
        <f t="shared" ref="U5:U7" si="3">$O5/Q5</f>
        <v>5166.666666666667</v>
      </c>
      <c r="V5" s="3">
        <f t="shared" ref="V5:V7" si="4">$O5/R5</f>
        <v>6200</v>
      </c>
      <c r="W5" s="3">
        <f t="shared" ref="W5:W7" si="5">$O5/S5</f>
        <v>7750</v>
      </c>
      <c r="Y5" t="s">
        <v>31</v>
      </c>
      <c r="Z5" s="3">
        <f>Z3*60/Z4</f>
        <v>302179.17675544799</v>
      </c>
      <c r="AA5" s="3">
        <f t="shared" ref="AA5:AC5" si="6">AA3*60/AA4</f>
        <v>375903.61445783131</v>
      </c>
      <c r="AB5" s="3">
        <f t="shared" si="6"/>
        <v>394936.70886075945</v>
      </c>
      <c r="AC5" s="3">
        <f t="shared" si="6"/>
        <v>413245.03311258281</v>
      </c>
    </row>
    <row r="6" spans="1:30" x14ac:dyDescent="0.25">
      <c r="A6" t="s">
        <v>365</v>
      </c>
      <c r="B6">
        <v>5</v>
      </c>
      <c r="C6">
        <v>22000</v>
      </c>
      <c r="D6">
        <v>6</v>
      </c>
      <c r="E6">
        <v>6</v>
      </c>
      <c r="F6">
        <v>6</v>
      </c>
      <c r="G6">
        <v>6</v>
      </c>
      <c r="H6">
        <f t="shared" si="2"/>
        <v>3666.6666666666665</v>
      </c>
      <c r="I6">
        <f t="shared" si="0"/>
        <v>3666.6666666666665</v>
      </c>
      <c r="J6">
        <f t="shared" si="0"/>
        <v>3666.6666666666665</v>
      </c>
      <c r="K6">
        <f t="shared" si="0"/>
        <v>3666.6666666666665</v>
      </c>
      <c r="M6" t="s">
        <v>387</v>
      </c>
      <c r="N6">
        <v>30</v>
      </c>
      <c r="O6">
        <v>30000</v>
      </c>
      <c r="P6">
        <v>4.3</v>
      </c>
      <c r="Q6">
        <v>3.5</v>
      </c>
      <c r="R6">
        <v>3.5</v>
      </c>
      <c r="S6">
        <v>3.5</v>
      </c>
      <c r="T6" s="3">
        <f>$O6/P6</f>
        <v>6976.7441860465124</v>
      </c>
      <c r="U6" s="3">
        <f t="shared" si="3"/>
        <v>8571.4285714285706</v>
      </c>
      <c r="V6" s="3">
        <f t="shared" si="4"/>
        <v>8571.4285714285706</v>
      </c>
      <c r="W6" s="3">
        <f t="shared" si="5"/>
        <v>8571.4285714285706</v>
      </c>
      <c r="Z6" s="3"/>
      <c r="AA6" s="3"/>
      <c r="AB6" s="3"/>
      <c r="AC6" s="3"/>
    </row>
    <row r="7" spans="1:30" x14ac:dyDescent="0.25">
      <c r="A7" t="s">
        <v>362</v>
      </c>
      <c r="B7">
        <v>5</v>
      </c>
      <c r="C7">
        <v>22000</v>
      </c>
      <c r="D7">
        <v>6</v>
      </c>
      <c r="E7">
        <v>6</v>
      </c>
      <c r="F7">
        <v>6</v>
      </c>
      <c r="G7">
        <v>6</v>
      </c>
      <c r="H7">
        <f t="shared" si="2"/>
        <v>3666.6666666666665</v>
      </c>
      <c r="I7">
        <f t="shared" si="0"/>
        <v>3666.6666666666665</v>
      </c>
      <c r="J7">
        <f t="shared" si="0"/>
        <v>3666.6666666666665</v>
      </c>
      <c r="K7">
        <f t="shared" si="0"/>
        <v>3666.6666666666665</v>
      </c>
      <c r="M7" t="s">
        <v>388</v>
      </c>
      <c r="N7">
        <v>30</v>
      </c>
      <c r="O7">
        <v>31000</v>
      </c>
      <c r="P7">
        <v>4</v>
      </c>
      <c r="Q7">
        <v>3.5</v>
      </c>
      <c r="R7">
        <v>3.5</v>
      </c>
      <c r="S7">
        <v>3.5</v>
      </c>
      <c r="T7" s="3">
        <f>$O7/P7</f>
        <v>7750</v>
      </c>
      <c r="U7" s="3">
        <f t="shared" si="3"/>
        <v>8857.1428571428569</v>
      </c>
      <c r="V7" s="3">
        <f t="shared" si="4"/>
        <v>8857.1428571428569</v>
      </c>
      <c r="W7" s="3">
        <f t="shared" si="5"/>
        <v>8857.1428571428569</v>
      </c>
      <c r="Y7" s="145" t="s">
        <v>466</v>
      </c>
      <c r="Z7" s="145"/>
      <c r="AA7" s="145"/>
      <c r="AB7" s="145"/>
      <c r="AC7" s="145"/>
    </row>
    <row r="8" spans="1:30" x14ac:dyDescent="0.25">
      <c r="A8" t="s">
        <v>366</v>
      </c>
      <c r="B8">
        <v>5</v>
      </c>
      <c r="C8">
        <v>22000</v>
      </c>
      <c r="D8">
        <v>6</v>
      </c>
      <c r="E8">
        <v>6</v>
      </c>
      <c r="F8">
        <v>6</v>
      </c>
      <c r="G8">
        <v>6</v>
      </c>
      <c r="H8">
        <f t="shared" si="2"/>
        <v>3666.6666666666665</v>
      </c>
      <c r="I8">
        <f t="shared" si="0"/>
        <v>3666.6666666666665</v>
      </c>
      <c r="J8">
        <f t="shared" si="0"/>
        <v>3666.6666666666665</v>
      </c>
      <c r="K8">
        <f t="shared" si="0"/>
        <v>3666.6666666666665</v>
      </c>
      <c r="M8" t="s">
        <v>379</v>
      </c>
      <c r="P8">
        <v>10</v>
      </c>
      <c r="Y8" s="145" t="s">
        <v>467</v>
      </c>
      <c r="Z8" s="145"/>
      <c r="AA8" s="145"/>
      <c r="AB8" s="145"/>
      <c r="AC8" s="145"/>
    </row>
    <row r="9" spans="1:30" x14ac:dyDescent="0.25">
      <c r="A9" t="s">
        <v>383</v>
      </c>
      <c r="B9">
        <v>5</v>
      </c>
      <c r="C9">
        <v>22000</v>
      </c>
      <c r="D9">
        <v>5</v>
      </c>
      <c r="E9">
        <v>4</v>
      </c>
      <c r="F9">
        <v>4</v>
      </c>
      <c r="G9">
        <v>4</v>
      </c>
      <c r="H9">
        <f t="shared" si="2"/>
        <v>4400</v>
      </c>
      <c r="I9">
        <f t="shared" si="0"/>
        <v>5500</v>
      </c>
      <c r="J9">
        <f t="shared" si="0"/>
        <v>5500</v>
      </c>
      <c r="K9">
        <f t="shared" si="0"/>
        <v>5500</v>
      </c>
      <c r="M9" t="s">
        <v>261</v>
      </c>
      <c r="P9">
        <v>10</v>
      </c>
      <c r="Y9" t="s">
        <v>90</v>
      </c>
      <c r="Z9" s="1">
        <f>22000*6</f>
        <v>132000</v>
      </c>
    </row>
    <row r="10" spans="1:30" x14ac:dyDescent="0.25">
      <c r="A10" t="s">
        <v>384</v>
      </c>
      <c r="B10">
        <v>5</v>
      </c>
      <c r="C10">
        <v>20500</v>
      </c>
      <c r="D10">
        <v>3</v>
      </c>
      <c r="E10">
        <v>2.1</v>
      </c>
      <c r="F10">
        <v>1.8</v>
      </c>
      <c r="G10">
        <v>1.6</v>
      </c>
      <c r="H10">
        <f t="shared" si="2"/>
        <v>7333.333333333333</v>
      </c>
      <c r="I10">
        <f t="shared" si="0"/>
        <v>10476.190476190475</v>
      </c>
      <c r="J10">
        <f t="shared" si="0"/>
        <v>12222.222222222223</v>
      </c>
      <c r="K10">
        <f t="shared" si="0"/>
        <v>13750</v>
      </c>
    </row>
    <row r="11" spans="1:30" x14ac:dyDescent="0.25">
      <c r="A11" t="s">
        <v>367</v>
      </c>
      <c r="B11">
        <v>5</v>
      </c>
      <c r="C11">
        <v>22000</v>
      </c>
      <c r="D11">
        <v>6</v>
      </c>
      <c r="E11">
        <v>6</v>
      </c>
      <c r="F11">
        <v>6</v>
      </c>
      <c r="G11">
        <v>6</v>
      </c>
      <c r="H11">
        <f t="shared" si="2"/>
        <v>3666.6666666666665</v>
      </c>
      <c r="I11">
        <f t="shared" si="0"/>
        <v>3666.6666666666665</v>
      </c>
      <c r="J11">
        <f t="shared" si="0"/>
        <v>3666.6666666666665</v>
      </c>
      <c r="K11">
        <f t="shared" si="0"/>
        <v>3666.6666666666665</v>
      </c>
    </row>
    <row r="12" spans="1:30" x14ac:dyDescent="0.25">
      <c r="A12" t="s">
        <v>368</v>
      </c>
      <c r="B12">
        <v>5</v>
      </c>
      <c r="C12">
        <v>22000</v>
      </c>
      <c r="D12">
        <v>6</v>
      </c>
      <c r="E12">
        <v>6</v>
      </c>
      <c r="F12">
        <v>6</v>
      </c>
      <c r="G12">
        <v>6</v>
      </c>
      <c r="H12">
        <f t="shared" si="2"/>
        <v>3666.6666666666665</v>
      </c>
      <c r="I12">
        <f t="shared" si="0"/>
        <v>3666.6666666666665</v>
      </c>
      <c r="J12">
        <f t="shared" si="0"/>
        <v>3666.6666666666665</v>
      </c>
      <c r="K12">
        <f t="shared" si="0"/>
        <v>3666.6666666666665</v>
      </c>
    </row>
    <row r="13" spans="1:30" x14ac:dyDescent="0.25">
      <c r="A13" t="s">
        <v>369</v>
      </c>
      <c r="B13">
        <v>5</v>
      </c>
      <c r="C13">
        <v>22000</v>
      </c>
      <c r="D13">
        <v>6</v>
      </c>
      <c r="E13">
        <v>6</v>
      </c>
      <c r="F13">
        <v>6</v>
      </c>
      <c r="G13">
        <v>6</v>
      </c>
      <c r="H13">
        <f t="shared" si="2"/>
        <v>3666.6666666666665</v>
      </c>
      <c r="I13">
        <f t="shared" si="0"/>
        <v>3666.6666666666665</v>
      </c>
      <c r="J13">
        <f t="shared" si="0"/>
        <v>3666.6666666666665</v>
      </c>
      <c r="K13">
        <f t="shared" si="0"/>
        <v>3666.6666666666665</v>
      </c>
    </row>
    <row r="14" spans="1:30" x14ac:dyDescent="0.25">
      <c r="A14" t="s">
        <v>370</v>
      </c>
      <c r="B14">
        <v>5</v>
      </c>
      <c r="C14">
        <v>22000</v>
      </c>
      <c r="D14">
        <v>6</v>
      </c>
      <c r="E14">
        <v>6</v>
      </c>
      <c r="F14">
        <v>6</v>
      </c>
      <c r="G14">
        <v>6</v>
      </c>
      <c r="H14">
        <f t="shared" si="2"/>
        <v>3666.6666666666665</v>
      </c>
      <c r="I14">
        <f t="shared" si="0"/>
        <v>3666.6666666666665</v>
      </c>
      <c r="J14">
        <f t="shared" si="0"/>
        <v>3666.6666666666665</v>
      </c>
      <c r="K14">
        <f t="shared" si="0"/>
        <v>3666.6666666666665</v>
      </c>
    </row>
    <row r="15" spans="1:30" x14ac:dyDescent="0.25">
      <c r="A15" t="s">
        <v>371</v>
      </c>
      <c r="B15">
        <v>5</v>
      </c>
      <c r="C15">
        <v>22000</v>
      </c>
      <c r="D15">
        <v>6</v>
      </c>
      <c r="E15">
        <v>6</v>
      </c>
      <c r="F15">
        <v>6</v>
      </c>
      <c r="G15">
        <v>6</v>
      </c>
      <c r="H15">
        <f t="shared" si="2"/>
        <v>3666.6666666666665</v>
      </c>
      <c r="I15">
        <f t="shared" si="0"/>
        <v>3666.6666666666665</v>
      </c>
      <c r="J15">
        <f t="shared" si="0"/>
        <v>3666.6666666666665</v>
      </c>
      <c r="K15">
        <f t="shared" si="0"/>
        <v>3666.6666666666665</v>
      </c>
      <c r="Y15" t="s">
        <v>381</v>
      </c>
      <c r="Z15">
        <f>D10</f>
        <v>3</v>
      </c>
      <c r="AA15">
        <f t="shared" ref="AA15:AC15" si="7">E10</f>
        <v>2.1</v>
      </c>
      <c r="AB15">
        <f t="shared" si="7"/>
        <v>1.8</v>
      </c>
      <c r="AC15">
        <f t="shared" si="7"/>
        <v>1.6</v>
      </c>
      <c r="AD15">
        <v>20500</v>
      </c>
    </row>
    <row r="16" spans="1:30" x14ac:dyDescent="0.25">
      <c r="A16" t="s">
        <v>372</v>
      </c>
      <c r="B16">
        <v>5</v>
      </c>
      <c r="C16">
        <v>22000</v>
      </c>
      <c r="D16">
        <v>6</v>
      </c>
      <c r="E16">
        <v>6</v>
      </c>
      <c r="F16">
        <v>6</v>
      </c>
      <c r="G16">
        <v>6</v>
      </c>
      <c r="H16">
        <f t="shared" si="2"/>
        <v>3666.6666666666665</v>
      </c>
      <c r="I16">
        <f t="shared" si="0"/>
        <v>3666.6666666666665</v>
      </c>
      <c r="J16">
        <f t="shared" si="0"/>
        <v>3666.6666666666665</v>
      </c>
      <c r="K16">
        <f t="shared" si="0"/>
        <v>3666.6666666666665</v>
      </c>
      <c r="Y16" t="s">
        <v>382</v>
      </c>
      <c r="Z16">
        <f>P4</f>
        <v>5</v>
      </c>
      <c r="AA16">
        <f t="shared" ref="AA16:AC16" si="8">Q4</f>
        <v>4</v>
      </c>
      <c r="AB16">
        <f t="shared" si="8"/>
        <v>4</v>
      </c>
      <c r="AC16">
        <f t="shared" si="8"/>
        <v>4</v>
      </c>
      <c r="AD16">
        <v>31000</v>
      </c>
    </row>
    <row r="17" spans="1:30" x14ac:dyDescent="0.25">
      <c r="A17" t="s">
        <v>373</v>
      </c>
      <c r="B17">
        <v>5</v>
      </c>
      <c r="C17">
        <v>22000</v>
      </c>
      <c r="D17">
        <v>6</v>
      </c>
      <c r="E17">
        <v>6</v>
      </c>
      <c r="F17">
        <v>6</v>
      </c>
      <c r="G17">
        <v>6</v>
      </c>
      <c r="H17">
        <f t="shared" si="2"/>
        <v>3666.6666666666665</v>
      </c>
      <c r="I17">
        <f t="shared" si="0"/>
        <v>3666.6666666666665</v>
      </c>
      <c r="J17">
        <f t="shared" si="0"/>
        <v>3666.6666666666665</v>
      </c>
      <c r="K17">
        <f t="shared" si="0"/>
        <v>3666.6666666666665</v>
      </c>
      <c r="Y17" t="s">
        <v>383</v>
      </c>
      <c r="Z17">
        <f>D9</f>
        <v>5</v>
      </c>
      <c r="AA17">
        <f t="shared" ref="AA17:AC17" si="9">E9</f>
        <v>4</v>
      </c>
      <c r="AB17">
        <f t="shared" si="9"/>
        <v>4</v>
      </c>
      <c r="AC17">
        <f t="shared" si="9"/>
        <v>4</v>
      </c>
      <c r="AD17">
        <v>22000</v>
      </c>
    </row>
    <row r="18" spans="1:30" x14ac:dyDescent="0.25">
      <c r="A18" t="s">
        <v>374</v>
      </c>
      <c r="B18">
        <v>5</v>
      </c>
      <c r="C18">
        <v>22000</v>
      </c>
      <c r="D18">
        <v>6</v>
      </c>
      <c r="E18">
        <v>6</v>
      </c>
      <c r="F18">
        <v>6</v>
      </c>
      <c r="G18">
        <v>6</v>
      </c>
      <c r="H18">
        <f t="shared" si="2"/>
        <v>3666.6666666666665</v>
      </c>
      <c r="I18">
        <f t="shared" si="0"/>
        <v>3666.6666666666665</v>
      </c>
      <c r="J18">
        <f t="shared" si="0"/>
        <v>3666.6666666666665</v>
      </c>
      <c r="K18">
        <f t="shared" si="0"/>
        <v>3666.6666666666665</v>
      </c>
      <c r="Y18" t="s">
        <v>23</v>
      </c>
      <c r="Z18">
        <f>P5</f>
        <v>8</v>
      </c>
      <c r="AA18">
        <f t="shared" ref="AA18:AC18" si="10">Q5</f>
        <v>6</v>
      </c>
      <c r="AB18">
        <f t="shared" si="10"/>
        <v>5</v>
      </c>
      <c r="AC18">
        <f t="shared" si="10"/>
        <v>4</v>
      </c>
      <c r="AD18">
        <v>31000</v>
      </c>
    </row>
    <row r="19" spans="1:30" x14ac:dyDescent="0.25">
      <c r="A19" t="s">
        <v>375</v>
      </c>
      <c r="B19">
        <v>5</v>
      </c>
      <c r="C19">
        <v>22000</v>
      </c>
      <c r="D19">
        <v>6</v>
      </c>
      <c r="E19">
        <v>6</v>
      </c>
      <c r="F19">
        <v>6</v>
      </c>
      <c r="G19">
        <v>6</v>
      </c>
      <c r="H19">
        <f t="shared" si="2"/>
        <v>3666.6666666666665</v>
      </c>
      <c r="I19">
        <f t="shared" si="0"/>
        <v>3666.6666666666665</v>
      </c>
      <c r="J19">
        <f t="shared" si="0"/>
        <v>3666.6666666666665</v>
      </c>
      <c r="K19">
        <f t="shared" si="0"/>
        <v>3666.6666666666665</v>
      </c>
      <c r="Y19" t="s">
        <v>381</v>
      </c>
      <c r="Z19">
        <f>D10</f>
        <v>3</v>
      </c>
      <c r="AA19">
        <f t="shared" ref="AA19:AC19" si="11">E10</f>
        <v>2.1</v>
      </c>
      <c r="AB19">
        <f t="shared" si="11"/>
        <v>1.8</v>
      </c>
      <c r="AC19">
        <f t="shared" si="11"/>
        <v>1.6</v>
      </c>
      <c r="AD19">
        <v>20500</v>
      </c>
    </row>
    <row r="20" spans="1:30" x14ac:dyDescent="0.25">
      <c r="A20" t="s">
        <v>376</v>
      </c>
      <c r="B20">
        <v>5</v>
      </c>
      <c r="C20">
        <v>22000</v>
      </c>
      <c r="D20">
        <v>6</v>
      </c>
      <c r="E20">
        <v>6</v>
      </c>
      <c r="F20">
        <v>6</v>
      </c>
      <c r="G20">
        <v>6</v>
      </c>
      <c r="H20">
        <f t="shared" si="2"/>
        <v>3666.6666666666665</v>
      </c>
      <c r="I20">
        <f t="shared" ref="I20" si="12">$C$4/E20</f>
        <v>3666.6666666666665</v>
      </c>
      <c r="J20">
        <f t="shared" ref="J20" si="13">$C$4/F20</f>
        <v>3666.6666666666665</v>
      </c>
      <c r="K20">
        <f t="shared" ref="K20" si="14">$C$4/G20</f>
        <v>3666.6666666666665</v>
      </c>
      <c r="Y20" t="s">
        <v>387</v>
      </c>
      <c r="Z20">
        <f>P6</f>
        <v>4.3</v>
      </c>
      <c r="AA20">
        <f t="shared" ref="AA20:AC20" si="15">Q6</f>
        <v>3.5</v>
      </c>
      <c r="AB20">
        <f t="shared" si="15"/>
        <v>3.5</v>
      </c>
      <c r="AC20">
        <f t="shared" si="15"/>
        <v>3.5</v>
      </c>
      <c r="AD20">
        <v>30000</v>
      </c>
    </row>
    <row r="21" spans="1:30" x14ac:dyDescent="0.25">
      <c r="Y21" t="s">
        <v>383</v>
      </c>
      <c r="Z21">
        <f>D9</f>
        <v>5</v>
      </c>
      <c r="AA21">
        <f t="shared" ref="AA21:AC21" si="16">E9</f>
        <v>4</v>
      </c>
      <c r="AB21">
        <f t="shared" si="16"/>
        <v>4</v>
      </c>
      <c r="AC21">
        <f t="shared" si="16"/>
        <v>4</v>
      </c>
      <c r="AD21">
        <v>22000</v>
      </c>
    </row>
    <row r="22" spans="1:30" x14ac:dyDescent="0.25">
      <c r="A22" t="s">
        <v>82</v>
      </c>
      <c r="B22" s="114">
        <f>Rendements!D15</f>
        <v>1</v>
      </c>
      <c r="Y22" t="s">
        <v>388</v>
      </c>
      <c r="Z22">
        <f>P7</f>
        <v>4</v>
      </c>
      <c r="AA22">
        <f t="shared" ref="AA22:AC22" si="17">Q7</f>
        <v>3.5</v>
      </c>
      <c r="AB22">
        <f t="shared" si="17"/>
        <v>3.5</v>
      </c>
      <c r="AC22">
        <f t="shared" si="17"/>
        <v>3.5</v>
      </c>
      <c r="AD22">
        <v>31000</v>
      </c>
    </row>
    <row r="23" spans="1:30" x14ac:dyDescent="0.25">
      <c r="A23" t="s">
        <v>380</v>
      </c>
      <c r="B23" s="1">
        <v>0.5</v>
      </c>
      <c r="Y23" t="s">
        <v>417</v>
      </c>
      <c r="Z23">
        <v>4</v>
      </c>
      <c r="AA23">
        <v>4</v>
      </c>
      <c r="AB23">
        <v>4</v>
      </c>
      <c r="AC23">
        <v>4</v>
      </c>
    </row>
    <row r="25" spans="1:30" x14ac:dyDescent="0.25">
      <c r="A25" t="s">
        <v>364</v>
      </c>
    </row>
    <row r="27" spans="1:30" x14ac:dyDescent="0.25">
      <c r="Y27" t="s">
        <v>381</v>
      </c>
      <c r="Z27">
        <v>3</v>
      </c>
      <c r="AA27">
        <v>2</v>
      </c>
      <c r="AB27">
        <v>1.75</v>
      </c>
      <c r="AC27">
        <v>1.5</v>
      </c>
      <c r="AD27">
        <v>20500</v>
      </c>
    </row>
    <row r="28" spans="1:30" x14ac:dyDescent="0.25">
      <c r="Y28" t="s">
        <v>382</v>
      </c>
      <c r="Z28">
        <v>5</v>
      </c>
      <c r="AA28">
        <v>4</v>
      </c>
      <c r="AB28">
        <v>4</v>
      </c>
      <c r="AC28">
        <v>4</v>
      </c>
      <c r="AD28">
        <v>31000</v>
      </c>
    </row>
    <row r="29" spans="1:30" x14ac:dyDescent="0.25">
      <c r="Y29" t="s">
        <v>383</v>
      </c>
      <c r="Z29">
        <v>5</v>
      </c>
      <c r="AA29">
        <v>4</v>
      </c>
      <c r="AB29">
        <v>4</v>
      </c>
      <c r="AC29">
        <v>4</v>
      </c>
      <c r="AD29">
        <v>22000</v>
      </c>
    </row>
    <row r="30" spans="1:30" x14ac:dyDescent="0.25">
      <c r="Y30" t="s">
        <v>23</v>
      </c>
      <c r="Z30">
        <v>8</v>
      </c>
      <c r="AA30">
        <v>6</v>
      </c>
      <c r="AB30">
        <v>5</v>
      </c>
      <c r="AC30">
        <v>4</v>
      </c>
      <c r="AD30">
        <v>31000</v>
      </c>
    </row>
    <row r="31" spans="1:30" x14ac:dyDescent="0.25">
      <c r="Y31" t="s">
        <v>381</v>
      </c>
      <c r="Z31">
        <v>3</v>
      </c>
      <c r="AA31">
        <v>2</v>
      </c>
      <c r="AB31">
        <v>1.75</v>
      </c>
      <c r="AC31">
        <v>1.5</v>
      </c>
      <c r="AD31">
        <v>20500</v>
      </c>
    </row>
    <row r="32" spans="1:30" x14ac:dyDescent="0.25">
      <c r="Y32" t="s">
        <v>387</v>
      </c>
      <c r="Z32">
        <v>4.3</v>
      </c>
      <c r="AA32">
        <v>3.5</v>
      </c>
      <c r="AB32">
        <v>3.5</v>
      </c>
      <c r="AC32">
        <v>3.5</v>
      </c>
      <c r="AD32">
        <v>30000</v>
      </c>
    </row>
    <row r="33" spans="25:30" x14ac:dyDescent="0.25">
      <c r="Y33" t="s">
        <v>383</v>
      </c>
      <c r="Z33">
        <v>5</v>
      </c>
      <c r="AA33">
        <v>4</v>
      </c>
      <c r="AB33">
        <v>4</v>
      </c>
      <c r="AC33">
        <v>4</v>
      </c>
      <c r="AD33">
        <v>22000</v>
      </c>
    </row>
    <row r="34" spans="25:30" x14ac:dyDescent="0.25">
      <c r="Y34" t="s">
        <v>388</v>
      </c>
      <c r="Z34">
        <v>4</v>
      </c>
      <c r="AA34">
        <v>3.5</v>
      </c>
      <c r="AB34">
        <v>3.5</v>
      </c>
      <c r="AC34">
        <v>3.5</v>
      </c>
      <c r="AD34">
        <v>31000</v>
      </c>
    </row>
    <row r="35" spans="25:30" x14ac:dyDescent="0.25">
      <c r="Y35" t="s">
        <v>381</v>
      </c>
      <c r="Z35">
        <v>3</v>
      </c>
      <c r="AA35">
        <v>2</v>
      </c>
      <c r="AB35">
        <v>1.75</v>
      </c>
      <c r="AC35">
        <v>1.5</v>
      </c>
      <c r="AD35">
        <v>20500</v>
      </c>
    </row>
    <row r="36" spans="25:30" x14ac:dyDescent="0.25">
      <c r="Y36" t="s">
        <v>383</v>
      </c>
      <c r="Z36">
        <v>5</v>
      </c>
      <c r="AA36">
        <v>4</v>
      </c>
      <c r="AB36">
        <v>4</v>
      </c>
      <c r="AC36">
        <v>4</v>
      </c>
      <c r="AD36">
        <v>22000</v>
      </c>
    </row>
    <row r="37" spans="25:30" x14ac:dyDescent="0.25">
      <c r="Y37" t="s">
        <v>382</v>
      </c>
      <c r="Z37">
        <v>5</v>
      </c>
      <c r="AA37">
        <v>4</v>
      </c>
      <c r="AB37">
        <v>4</v>
      </c>
      <c r="AC37">
        <v>4</v>
      </c>
      <c r="AD37">
        <v>31000</v>
      </c>
    </row>
    <row r="38" spans="25:30" x14ac:dyDescent="0.25">
      <c r="Y38" t="s">
        <v>381</v>
      </c>
      <c r="Z38">
        <v>3</v>
      </c>
      <c r="AA38">
        <v>2</v>
      </c>
      <c r="AB38">
        <v>1.75</v>
      </c>
      <c r="AC38">
        <v>1.5</v>
      </c>
      <c r="AD38">
        <v>20500</v>
      </c>
    </row>
    <row r="39" spans="25:30" x14ac:dyDescent="0.25">
      <c r="Y39" t="s">
        <v>23</v>
      </c>
      <c r="Z39">
        <v>8</v>
      </c>
      <c r="AA39">
        <v>6</v>
      </c>
      <c r="AB39">
        <v>5</v>
      </c>
      <c r="AC39">
        <v>4</v>
      </c>
      <c r="AD39">
        <v>31000</v>
      </c>
    </row>
    <row r="40" spans="25:30" x14ac:dyDescent="0.25">
      <c r="Y40" t="s">
        <v>383</v>
      </c>
      <c r="Z40">
        <v>5</v>
      </c>
      <c r="AA40">
        <v>4</v>
      </c>
      <c r="AB40">
        <v>4</v>
      </c>
      <c r="AC40">
        <v>4</v>
      </c>
      <c r="AD40">
        <v>22000</v>
      </c>
    </row>
    <row r="41" spans="25:30" x14ac:dyDescent="0.25">
      <c r="Y41" t="s">
        <v>387</v>
      </c>
      <c r="Z41">
        <v>4.3</v>
      </c>
      <c r="AA41">
        <v>3.5</v>
      </c>
      <c r="AB41">
        <v>3.5</v>
      </c>
      <c r="AC41">
        <v>3.5</v>
      </c>
      <c r="AD41">
        <v>30000</v>
      </c>
    </row>
    <row r="42" spans="25:30" x14ac:dyDescent="0.25">
      <c r="Y42" t="s">
        <v>381</v>
      </c>
      <c r="Z42">
        <v>3</v>
      </c>
      <c r="AA42">
        <v>2</v>
      </c>
      <c r="AB42">
        <v>1.75</v>
      </c>
      <c r="AC42">
        <v>1.5</v>
      </c>
      <c r="AD42">
        <v>20500</v>
      </c>
    </row>
    <row r="43" spans="25:30" x14ac:dyDescent="0.25">
      <c r="Y43" t="s">
        <v>388</v>
      </c>
      <c r="Z43">
        <v>4</v>
      </c>
      <c r="AA43">
        <v>3.5</v>
      </c>
      <c r="AB43">
        <v>3.5</v>
      </c>
      <c r="AC43">
        <v>3.5</v>
      </c>
      <c r="AD43">
        <v>31000</v>
      </c>
    </row>
    <row r="44" spans="25:30" x14ac:dyDescent="0.25">
      <c r="Y44" t="s">
        <v>383</v>
      </c>
      <c r="Z44">
        <v>5</v>
      </c>
      <c r="AA44">
        <v>4</v>
      </c>
      <c r="AB44">
        <v>4</v>
      </c>
      <c r="AC44">
        <v>4</v>
      </c>
      <c r="AD44">
        <v>22000</v>
      </c>
    </row>
    <row r="45" spans="25:30" x14ac:dyDescent="0.25">
      <c r="Y45" t="s">
        <v>417</v>
      </c>
      <c r="Z45">
        <v>9</v>
      </c>
      <c r="AA45">
        <v>9</v>
      </c>
      <c r="AB45">
        <v>9</v>
      </c>
      <c r="AC45">
        <v>9</v>
      </c>
    </row>
  </sheetData>
  <mergeCells count="9">
    <mergeCell ref="Y1:AC1"/>
    <mergeCell ref="Y8:AC8"/>
    <mergeCell ref="P2:S2"/>
    <mergeCell ref="T2:W2"/>
    <mergeCell ref="D2:G2"/>
    <mergeCell ref="H2:K2"/>
    <mergeCell ref="A1:K1"/>
    <mergeCell ref="M1:W1"/>
    <mergeCell ref="Y7:A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workbookViewId="0">
      <selection activeCell="B23" sqref="B23"/>
    </sheetView>
  </sheetViews>
  <sheetFormatPr baseColWidth="10" defaultRowHeight="15" x14ac:dyDescent="0.25"/>
  <cols>
    <col min="1" max="1" width="22.5703125" bestFit="1" customWidth="1"/>
    <col min="8" max="8" width="15" customWidth="1"/>
    <col min="10" max="10" width="16.42578125" bestFit="1" customWidth="1"/>
    <col min="11" max="11" width="12.140625" bestFit="1" customWidth="1"/>
    <col min="12" max="12" width="15.28515625" bestFit="1" customWidth="1"/>
  </cols>
  <sheetData>
    <row r="1" spans="1:13" x14ac:dyDescent="0.25">
      <c r="A1" t="s">
        <v>31</v>
      </c>
      <c r="B1" s="3">
        <f>B11/(B12+$B$14)*60</f>
        <v>207584.41558441558</v>
      </c>
      <c r="C1" s="3">
        <f t="shared" ref="C1:D1" si="0">C11/(C12+$B$14)*60</f>
        <v>259270.07299270071</v>
      </c>
      <c r="D1" s="3">
        <f t="shared" si="0"/>
        <v>262278.48101265822</v>
      </c>
      <c r="F1" s="14" t="s">
        <v>197</v>
      </c>
      <c r="G1" s="14" t="s">
        <v>200</v>
      </c>
      <c r="H1" s="19" t="s">
        <v>199</v>
      </c>
      <c r="J1" s="22" t="s">
        <v>217</v>
      </c>
      <c r="K1" s="22" t="s">
        <v>218</v>
      </c>
    </row>
    <row r="2" spans="1:13" x14ac:dyDescent="0.25">
      <c r="A2" t="s">
        <v>489</v>
      </c>
      <c r="B2" s="3">
        <f>B11/(B12+$B$14*MATCH(Rendements!$I14,$J15:$J18,0))*60</f>
        <v>207584.41558441558</v>
      </c>
      <c r="C2" s="3">
        <f>C11/(C12+$B$14*MATCH(Rendements!$I14,$J15:$J18,0))*60</f>
        <v>259270.07299270071</v>
      </c>
      <c r="D2" s="3">
        <f>D11/(D12+$B$14*MATCH(Rendements!$I14,$J15:$J18,0))*60</f>
        <v>262278.48101265822</v>
      </c>
      <c r="F2" s="23">
        <v>1</v>
      </c>
      <c r="G2" s="17">
        <v>10000</v>
      </c>
      <c r="H2" s="17">
        <f t="shared" ref="H2:H33" si="1">G2/F2</f>
        <v>10000</v>
      </c>
      <c r="J2" s="18" t="s">
        <v>201</v>
      </c>
      <c r="K2" s="18">
        <v>16</v>
      </c>
    </row>
    <row r="3" spans="1:13" x14ac:dyDescent="0.25">
      <c r="A3" t="s">
        <v>194</v>
      </c>
      <c r="B3">
        <v>1</v>
      </c>
      <c r="C3">
        <v>2</v>
      </c>
      <c r="D3">
        <v>3</v>
      </c>
      <c r="F3" s="23">
        <v>2</v>
      </c>
      <c r="G3" s="17">
        <v>22000</v>
      </c>
      <c r="H3" s="17">
        <f t="shared" si="1"/>
        <v>11000</v>
      </c>
      <c r="J3" s="18" t="s">
        <v>203</v>
      </c>
      <c r="K3" s="18">
        <v>42</v>
      </c>
    </row>
    <row r="4" spans="1:13" x14ac:dyDescent="0.25">
      <c r="A4" t="s">
        <v>195</v>
      </c>
      <c r="B4">
        <v>2000</v>
      </c>
      <c r="C4">
        <v>8000</v>
      </c>
      <c r="D4">
        <v>18000</v>
      </c>
      <c r="F4" s="23">
        <v>3</v>
      </c>
      <c r="G4" s="17">
        <v>36000</v>
      </c>
      <c r="H4" s="17">
        <f t="shared" si="1"/>
        <v>12000</v>
      </c>
      <c r="J4" s="18" t="s">
        <v>202</v>
      </c>
      <c r="K4" s="18">
        <v>111</v>
      </c>
    </row>
    <row r="5" spans="1:13" x14ac:dyDescent="0.25">
      <c r="A5" t="s">
        <v>196</v>
      </c>
      <c r="B5" s="1">
        <v>5</v>
      </c>
      <c r="C5" s="1">
        <v>7</v>
      </c>
      <c r="D5" s="1">
        <v>9</v>
      </c>
      <c r="F5" s="23">
        <v>4</v>
      </c>
      <c r="G5" s="17">
        <v>52000</v>
      </c>
      <c r="H5" s="17">
        <f t="shared" si="1"/>
        <v>13000</v>
      </c>
    </row>
    <row r="6" spans="1:13" x14ac:dyDescent="0.25">
      <c r="A6" t="s">
        <v>220</v>
      </c>
      <c r="B6" s="13">
        <v>3</v>
      </c>
      <c r="C6" s="13">
        <v>3</v>
      </c>
      <c r="D6" s="13">
        <v>3</v>
      </c>
      <c r="F6" s="23">
        <v>5</v>
      </c>
      <c r="G6" s="17">
        <v>65000</v>
      </c>
      <c r="H6" s="17">
        <f t="shared" si="1"/>
        <v>13000</v>
      </c>
      <c r="J6" s="14" t="s">
        <v>208</v>
      </c>
      <c r="K6" s="14" t="s">
        <v>209</v>
      </c>
      <c r="L6" s="14" t="s">
        <v>210</v>
      </c>
      <c r="M6" s="20" t="s">
        <v>219</v>
      </c>
    </row>
    <row r="7" spans="1:13" x14ac:dyDescent="0.25">
      <c r="A7" t="s">
        <v>204</v>
      </c>
      <c r="B7" s="1">
        <v>111</v>
      </c>
      <c r="C7" s="1">
        <v>55.5</v>
      </c>
      <c r="D7" s="1">
        <v>37</v>
      </c>
      <c r="F7" s="23">
        <v>6</v>
      </c>
      <c r="G7" s="17">
        <v>81000</v>
      </c>
      <c r="H7" s="17">
        <f t="shared" si="1"/>
        <v>13500</v>
      </c>
      <c r="J7" s="15" t="s">
        <v>211</v>
      </c>
      <c r="K7" s="16">
        <v>30000</v>
      </c>
      <c r="L7" s="17">
        <v>150000</v>
      </c>
      <c r="M7" s="25">
        <f>L7-K7</f>
        <v>120000</v>
      </c>
    </row>
    <row r="8" spans="1:13" x14ac:dyDescent="0.25">
      <c r="A8" t="s">
        <v>194</v>
      </c>
      <c r="B8">
        <f>IF(B7*B3&gt;111,"ERREUR",B7*B3)</f>
        <v>111</v>
      </c>
      <c r="C8">
        <f>IF(C7*C3&gt;111,"ERREUR",C7*C3)</f>
        <v>111</v>
      </c>
      <c r="D8">
        <f>IF(D7*D3&gt;111,"ERREUR",D7*D3)</f>
        <v>111</v>
      </c>
      <c r="F8" s="23">
        <v>7</v>
      </c>
      <c r="G8" s="17">
        <v>94500</v>
      </c>
      <c r="H8" s="17">
        <f t="shared" si="1"/>
        <v>13500</v>
      </c>
      <c r="J8" s="15" t="s">
        <v>212</v>
      </c>
      <c r="K8" s="16">
        <v>27000</v>
      </c>
      <c r="L8" s="17">
        <v>135000</v>
      </c>
      <c r="M8" s="25">
        <f t="shared" ref="M8:M12" si="2">L8-K8</f>
        <v>108000</v>
      </c>
    </row>
    <row r="9" spans="1:13" x14ac:dyDescent="0.25">
      <c r="A9" t="s">
        <v>205</v>
      </c>
      <c r="B9">
        <f>$B$13*VLOOKUP(B8,$F$2:$H$112,2,FALSE)</f>
        <v>4440000</v>
      </c>
      <c r="C9">
        <f>$B$13*VLOOKUP(C8,$F$2:$H$112,2,FALSE)</f>
        <v>4440000</v>
      </c>
      <c r="D9">
        <f>$B$13*VLOOKUP(D8,$F$2:$H$112,2,FALSE)</f>
        <v>4440000</v>
      </c>
      <c r="F9" s="23">
        <v>8</v>
      </c>
      <c r="G9" s="17">
        <v>112000</v>
      </c>
      <c r="H9" s="17">
        <f t="shared" si="1"/>
        <v>14000</v>
      </c>
      <c r="J9" s="15" t="s">
        <v>213</v>
      </c>
      <c r="K9" s="16">
        <v>25000</v>
      </c>
      <c r="L9" s="17">
        <v>125000</v>
      </c>
      <c r="M9" s="25">
        <f t="shared" si="2"/>
        <v>100000</v>
      </c>
    </row>
    <row r="10" spans="1:13" x14ac:dyDescent="0.25">
      <c r="A10" t="s">
        <v>206</v>
      </c>
      <c r="B10">
        <f>B7*B4*$B$13</f>
        <v>444000</v>
      </c>
      <c r="C10">
        <f>C7*C4*$B$13</f>
        <v>888000</v>
      </c>
      <c r="D10">
        <f>D7*D4*$B$13</f>
        <v>1332000</v>
      </c>
      <c r="F10" s="23">
        <v>9</v>
      </c>
      <c r="G10" s="17">
        <v>126000</v>
      </c>
      <c r="H10" s="17">
        <f t="shared" si="1"/>
        <v>14000</v>
      </c>
      <c r="J10" s="15" t="s">
        <v>214</v>
      </c>
      <c r="K10" s="16">
        <v>29000</v>
      </c>
      <c r="L10" s="17">
        <v>115000</v>
      </c>
      <c r="M10" s="25">
        <f t="shared" si="2"/>
        <v>86000</v>
      </c>
    </row>
    <row r="11" spans="1:13" x14ac:dyDescent="0.25">
      <c r="A11" t="s">
        <v>207</v>
      </c>
      <c r="B11">
        <f>(B9-B10)*$B$16*$B$17</f>
        <v>3996000</v>
      </c>
      <c r="C11">
        <f>(C9-C10)*$B$16*$B$17</f>
        <v>3552000</v>
      </c>
      <c r="D11">
        <f>(D9-D10)*$B$16*$B$17</f>
        <v>3108000</v>
      </c>
      <c r="F11" s="23">
        <v>10</v>
      </c>
      <c r="G11" s="17">
        <v>145000</v>
      </c>
      <c r="H11" s="17">
        <f t="shared" si="1"/>
        <v>14500</v>
      </c>
      <c r="J11" s="15" t="s">
        <v>215</v>
      </c>
      <c r="K11" s="16">
        <v>21000</v>
      </c>
      <c r="L11" s="17">
        <v>105000</v>
      </c>
      <c r="M11" s="25">
        <f t="shared" si="2"/>
        <v>84000</v>
      </c>
    </row>
    <row r="12" spans="1:13" x14ac:dyDescent="0.25">
      <c r="A12" t="s">
        <v>30</v>
      </c>
      <c r="B12" s="3">
        <f>IF($B$13=1,B13*(B5*B7+B6*(B7-1)),$B$13*B5*B7)+$B$14*$B$13</f>
        <v>1140</v>
      </c>
      <c r="C12" s="3">
        <f>IF($B$13=1,$B$13*(C5*C7+C6*(C7-1)),$B$13*C5*C7)+$B$14*$B$13</f>
        <v>807</v>
      </c>
      <c r="D12" s="3">
        <f>IF($B$13=1,$B$13*(D5*D7+D6*(D7-1)),$B$13*D5*D7)+$B$14*$B$13</f>
        <v>696</v>
      </c>
      <c r="F12" s="23">
        <v>11</v>
      </c>
      <c r="G12" s="17">
        <v>159500</v>
      </c>
      <c r="H12" s="17">
        <f t="shared" si="1"/>
        <v>14500</v>
      </c>
      <c r="J12" s="15" t="s">
        <v>216</v>
      </c>
      <c r="K12" s="16">
        <v>19000</v>
      </c>
      <c r="L12" s="17">
        <v>95000</v>
      </c>
      <c r="M12" s="25">
        <f t="shared" si="2"/>
        <v>76000</v>
      </c>
    </row>
    <row r="13" spans="1:13" x14ac:dyDescent="0.25">
      <c r="A13" t="s">
        <v>21</v>
      </c>
      <c r="B13" s="115">
        <f>MATCH(Rendements!K14,A19:A20,0)</f>
        <v>2</v>
      </c>
      <c r="C13" s="3"/>
      <c r="D13" s="3"/>
      <c r="F13" s="23">
        <v>12</v>
      </c>
      <c r="G13" s="17">
        <v>174000</v>
      </c>
      <c r="H13" s="17">
        <f t="shared" si="1"/>
        <v>14500</v>
      </c>
    </row>
    <row r="14" spans="1:13" x14ac:dyDescent="0.25">
      <c r="A14" t="s">
        <v>443</v>
      </c>
      <c r="B14" s="113">
        <v>15</v>
      </c>
      <c r="F14" s="23">
        <v>13</v>
      </c>
      <c r="G14" s="17">
        <v>188500</v>
      </c>
      <c r="H14" s="17">
        <f t="shared" si="1"/>
        <v>14500</v>
      </c>
      <c r="J14" s="128" t="s">
        <v>348</v>
      </c>
    </row>
    <row r="15" spans="1:13" x14ac:dyDescent="0.25">
      <c r="F15" s="23">
        <v>14</v>
      </c>
      <c r="G15" s="17">
        <v>203000</v>
      </c>
      <c r="H15" s="17">
        <f t="shared" si="1"/>
        <v>14500</v>
      </c>
      <c r="J15" s="117">
        <v>1</v>
      </c>
    </row>
    <row r="16" spans="1:13" x14ac:dyDescent="0.25">
      <c r="A16" t="s">
        <v>67</v>
      </c>
      <c r="B16" s="114">
        <f>Rendements!D14</f>
        <v>1</v>
      </c>
      <c r="F16" s="23">
        <v>15</v>
      </c>
      <c r="G16" s="17">
        <v>225000</v>
      </c>
      <c r="H16" s="17">
        <f t="shared" si="1"/>
        <v>15000</v>
      </c>
      <c r="J16" s="117">
        <v>2</v>
      </c>
    </row>
    <row r="17" spans="1:10" x14ac:dyDescent="0.25">
      <c r="A17" t="s">
        <v>15</v>
      </c>
      <c r="B17" s="114">
        <f>Rendements!E14</f>
        <v>1</v>
      </c>
      <c r="F17" s="23">
        <v>16</v>
      </c>
      <c r="G17" s="17">
        <v>240000</v>
      </c>
      <c r="H17" s="17">
        <f t="shared" si="1"/>
        <v>15000</v>
      </c>
      <c r="J17" s="117">
        <v>3</v>
      </c>
    </row>
    <row r="18" spans="1:10" x14ac:dyDescent="0.25">
      <c r="F18" s="23">
        <v>17</v>
      </c>
      <c r="G18" s="17">
        <v>255000</v>
      </c>
      <c r="H18" s="17">
        <f t="shared" si="1"/>
        <v>15000</v>
      </c>
      <c r="J18" s="129" t="s">
        <v>420</v>
      </c>
    </row>
    <row r="19" spans="1:10" x14ac:dyDescent="0.25">
      <c r="A19" t="s">
        <v>433</v>
      </c>
      <c r="F19" s="23">
        <v>18</v>
      </c>
      <c r="G19" s="17">
        <v>270000</v>
      </c>
      <c r="H19" s="17">
        <f t="shared" si="1"/>
        <v>15000</v>
      </c>
    </row>
    <row r="20" spans="1:10" x14ac:dyDescent="0.25">
      <c r="A20" t="s">
        <v>441</v>
      </c>
      <c r="F20" s="23">
        <v>19</v>
      </c>
      <c r="G20" s="17">
        <v>285000</v>
      </c>
      <c r="H20" s="17">
        <f t="shared" si="1"/>
        <v>15000</v>
      </c>
    </row>
    <row r="21" spans="1:10" x14ac:dyDescent="0.25">
      <c r="F21" s="23">
        <v>20</v>
      </c>
      <c r="G21" s="17">
        <v>310000</v>
      </c>
      <c r="H21" s="17">
        <f t="shared" si="1"/>
        <v>15500</v>
      </c>
    </row>
    <row r="22" spans="1:10" x14ac:dyDescent="0.25">
      <c r="A22" t="s">
        <v>460</v>
      </c>
      <c r="F22" s="23">
        <v>21</v>
      </c>
      <c r="G22" s="17">
        <v>325500</v>
      </c>
      <c r="H22" s="17">
        <f t="shared" si="1"/>
        <v>15500</v>
      </c>
    </row>
    <row r="23" spans="1:10" x14ac:dyDescent="0.25">
      <c r="F23" s="24">
        <v>22</v>
      </c>
      <c r="G23" s="21">
        <v>341000</v>
      </c>
      <c r="H23" s="17">
        <f t="shared" si="1"/>
        <v>15500</v>
      </c>
    </row>
    <row r="24" spans="1:10" x14ac:dyDescent="0.25">
      <c r="F24" s="23">
        <v>23</v>
      </c>
      <c r="G24" s="17">
        <v>356500</v>
      </c>
      <c r="H24" s="17">
        <f t="shared" si="1"/>
        <v>15500</v>
      </c>
    </row>
    <row r="25" spans="1:10" x14ac:dyDescent="0.25">
      <c r="F25" s="23">
        <v>24</v>
      </c>
      <c r="G25" s="17">
        <v>372000</v>
      </c>
      <c r="H25" s="17">
        <f t="shared" si="1"/>
        <v>15500</v>
      </c>
    </row>
    <row r="26" spans="1:10" x14ac:dyDescent="0.25">
      <c r="F26" s="23">
        <v>25</v>
      </c>
      <c r="G26" s="17">
        <v>400000</v>
      </c>
      <c r="H26" s="17">
        <f t="shared" si="1"/>
        <v>16000</v>
      </c>
    </row>
    <row r="27" spans="1:10" x14ac:dyDescent="0.25">
      <c r="F27" s="23">
        <v>26</v>
      </c>
      <c r="G27" s="17">
        <v>416000</v>
      </c>
      <c r="H27" s="17">
        <f t="shared" si="1"/>
        <v>16000</v>
      </c>
    </row>
    <row r="28" spans="1:10" x14ac:dyDescent="0.25">
      <c r="F28" s="23">
        <v>27</v>
      </c>
      <c r="G28" s="17">
        <v>432000</v>
      </c>
      <c r="H28" s="17">
        <f t="shared" si="1"/>
        <v>16000</v>
      </c>
    </row>
    <row r="29" spans="1:10" x14ac:dyDescent="0.25">
      <c r="F29" s="23">
        <v>28</v>
      </c>
      <c r="G29" s="17">
        <v>448000</v>
      </c>
      <c r="H29" s="17">
        <f t="shared" si="1"/>
        <v>16000</v>
      </c>
    </row>
    <row r="30" spans="1:10" x14ac:dyDescent="0.25">
      <c r="F30" s="23">
        <v>29</v>
      </c>
      <c r="G30" s="17">
        <v>464000</v>
      </c>
      <c r="H30" s="17">
        <f t="shared" si="1"/>
        <v>16000</v>
      </c>
    </row>
    <row r="31" spans="1:10" x14ac:dyDescent="0.25">
      <c r="F31" s="23">
        <v>30</v>
      </c>
      <c r="G31" s="17">
        <v>495000</v>
      </c>
      <c r="H31" s="17">
        <f t="shared" si="1"/>
        <v>16500</v>
      </c>
    </row>
    <row r="32" spans="1:10" x14ac:dyDescent="0.25">
      <c r="F32" s="23">
        <v>31</v>
      </c>
      <c r="G32" s="17">
        <v>511500</v>
      </c>
      <c r="H32" s="17">
        <f t="shared" si="1"/>
        <v>16500</v>
      </c>
    </row>
    <row r="33" spans="6:8" x14ac:dyDescent="0.25">
      <c r="F33" s="23">
        <v>32</v>
      </c>
      <c r="G33" s="17">
        <v>528000</v>
      </c>
      <c r="H33" s="17">
        <f t="shared" si="1"/>
        <v>16500</v>
      </c>
    </row>
    <row r="34" spans="6:8" x14ac:dyDescent="0.25">
      <c r="F34" s="23">
        <v>33</v>
      </c>
      <c r="G34" s="17">
        <v>544500</v>
      </c>
      <c r="H34" s="17">
        <f t="shared" ref="H34:H65" si="3">G34/F34</f>
        <v>16500</v>
      </c>
    </row>
    <row r="35" spans="6:8" x14ac:dyDescent="0.25">
      <c r="F35" s="23">
        <v>34</v>
      </c>
      <c r="G35" s="17">
        <v>561000</v>
      </c>
      <c r="H35" s="17">
        <f t="shared" si="3"/>
        <v>16500</v>
      </c>
    </row>
    <row r="36" spans="6:8" x14ac:dyDescent="0.25">
      <c r="F36" s="23">
        <v>35</v>
      </c>
      <c r="G36" s="17">
        <v>595000</v>
      </c>
      <c r="H36" s="17">
        <f t="shared" si="3"/>
        <v>17000</v>
      </c>
    </row>
    <row r="37" spans="6:8" x14ac:dyDescent="0.25">
      <c r="F37" s="23">
        <v>36</v>
      </c>
      <c r="G37" s="17">
        <v>612000</v>
      </c>
      <c r="H37" s="17">
        <f t="shared" si="3"/>
        <v>17000</v>
      </c>
    </row>
    <row r="38" spans="6:8" x14ac:dyDescent="0.25">
      <c r="F38" s="23">
        <v>37</v>
      </c>
      <c r="G38" s="17">
        <v>629000</v>
      </c>
      <c r="H38" s="17">
        <f t="shared" si="3"/>
        <v>17000</v>
      </c>
    </row>
    <row r="39" spans="6:8" x14ac:dyDescent="0.25">
      <c r="F39" s="23">
        <v>38</v>
      </c>
      <c r="G39" s="17">
        <v>646000</v>
      </c>
      <c r="H39" s="17">
        <f t="shared" si="3"/>
        <v>17000</v>
      </c>
    </row>
    <row r="40" spans="6:8" x14ac:dyDescent="0.25">
      <c r="F40" s="23">
        <v>39</v>
      </c>
      <c r="G40" s="17">
        <v>663000</v>
      </c>
      <c r="H40" s="17">
        <f t="shared" si="3"/>
        <v>17000</v>
      </c>
    </row>
    <row r="41" spans="6:8" x14ac:dyDescent="0.25">
      <c r="F41" s="23">
        <v>40</v>
      </c>
      <c r="G41" s="17">
        <v>700000</v>
      </c>
      <c r="H41" s="17">
        <f t="shared" si="3"/>
        <v>17500</v>
      </c>
    </row>
    <row r="42" spans="6:8" x14ac:dyDescent="0.25">
      <c r="F42" s="23">
        <v>41</v>
      </c>
      <c r="G42" s="17">
        <v>717500</v>
      </c>
      <c r="H42" s="17">
        <f t="shared" si="3"/>
        <v>17500</v>
      </c>
    </row>
    <row r="43" spans="6:8" x14ac:dyDescent="0.25">
      <c r="F43" s="23">
        <v>42</v>
      </c>
      <c r="G43" s="17">
        <v>735000</v>
      </c>
      <c r="H43" s="17">
        <f t="shared" si="3"/>
        <v>17500</v>
      </c>
    </row>
    <row r="44" spans="6:8" x14ac:dyDescent="0.25">
      <c r="F44" s="23">
        <v>43</v>
      </c>
      <c r="G44" s="17">
        <v>752500</v>
      </c>
      <c r="H44" s="17">
        <f t="shared" si="3"/>
        <v>17500</v>
      </c>
    </row>
    <row r="45" spans="6:8" x14ac:dyDescent="0.25">
      <c r="F45" s="23">
        <v>44</v>
      </c>
      <c r="G45" s="17">
        <v>770000</v>
      </c>
      <c r="H45" s="17">
        <f t="shared" si="3"/>
        <v>17500</v>
      </c>
    </row>
    <row r="46" spans="6:8" x14ac:dyDescent="0.25">
      <c r="F46" s="23">
        <v>45</v>
      </c>
      <c r="G46" s="17">
        <v>798750</v>
      </c>
      <c r="H46" s="17">
        <f t="shared" si="3"/>
        <v>17750</v>
      </c>
    </row>
    <row r="47" spans="6:8" x14ac:dyDescent="0.25">
      <c r="F47" s="23">
        <v>46</v>
      </c>
      <c r="G47" s="17">
        <v>816500</v>
      </c>
      <c r="H47" s="17">
        <f t="shared" si="3"/>
        <v>17750</v>
      </c>
    </row>
    <row r="48" spans="6:8" x14ac:dyDescent="0.25">
      <c r="F48" s="23">
        <v>47</v>
      </c>
      <c r="G48" s="17">
        <v>834250</v>
      </c>
      <c r="H48" s="17">
        <f t="shared" si="3"/>
        <v>17750</v>
      </c>
    </row>
    <row r="49" spans="6:8" x14ac:dyDescent="0.25">
      <c r="F49" s="23">
        <v>48</v>
      </c>
      <c r="G49" s="17">
        <v>852000</v>
      </c>
      <c r="H49" s="17">
        <f t="shared" si="3"/>
        <v>17750</v>
      </c>
    </row>
    <row r="50" spans="6:8" x14ac:dyDescent="0.25">
      <c r="F50" s="23">
        <v>49</v>
      </c>
      <c r="G50" s="17">
        <v>869750</v>
      </c>
      <c r="H50" s="17">
        <f t="shared" si="3"/>
        <v>17750</v>
      </c>
    </row>
    <row r="51" spans="6:8" x14ac:dyDescent="0.25">
      <c r="F51" s="23">
        <v>50</v>
      </c>
      <c r="G51" s="17">
        <v>900000</v>
      </c>
      <c r="H51" s="17">
        <f t="shared" si="3"/>
        <v>18000</v>
      </c>
    </row>
    <row r="52" spans="6:8" x14ac:dyDescent="0.25">
      <c r="F52" s="23">
        <v>51</v>
      </c>
      <c r="G52" s="17">
        <v>918000</v>
      </c>
      <c r="H52" s="17">
        <f t="shared" si="3"/>
        <v>18000</v>
      </c>
    </row>
    <row r="53" spans="6:8" x14ac:dyDescent="0.25">
      <c r="F53" s="23">
        <v>52</v>
      </c>
      <c r="G53" s="17">
        <v>936000</v>
      </c>
      <c r="H53" s="17">
        <f t="shared" si="3"/>
        <v>18000</v>
      </c>
    </row>
    <row r="54" spans="6:8" x14ac:dyDescent="0.25">
      <c r="F54" s="23">
        <v>53</v>
      </c>
      <c r="G54" s="17">
        <v>954000</v>
      </c>
      <c r="H54" s="17">
        <f t="shared" si="3"/>
        <v>18000</v>
      </c>
    </row>
    <row r="55" spans="6:8" x14ac:dyDescent="0.25">
      <c r="F55" s="23">
        <v>54</v>
      </c>
      <c r="G55" s="17">
        <v>972000</v>
      </c>
      <c r="H55" s="17">
        <f t="shared" si="3"/>
        <v>18000</v>
      </c>
    </row>
    <row r="56" spans="6:8" x14ac:dyDescent="0.25">
      <c r="F56" s="23">
        <v>55</v>
      </c>
      <c r="G56" s="17">
        <v>990000</v>
      </c>
      <c r="H56" s="17">
        <f t="shared" si="3"/>
        <v>18000</v>
      </c>
    </row>
    <row r="57" spans="6:8" x14ac:dyDescent="0.25">
      <c r="F57" s="24">
        <v>56</v>
      </c>
      <c r="G57" s="21">
        <v>1008000</v>
      </c>
      <c r="H57" s="17">
        <f t="shared" si="3"/>
        <v>18000</v>
      </c>
    </row>
    <row r="58" spans="6:8" x14ac:dyDescent="0.25">
      <c r="F58" s="23">
        <v>57</v>
      </c>
      <c r="G58" s="17">
        <v>1026000</v>
      </c>
      <c r="H58" s="17">
        <f t="shared" si="3"/>
        <v>18000</v>
      </c>
    </row>
    <row r="59" spans="6:8" x14ac:dyDescent="0.25">
      <c r="F59" s="23">
        <v>58</v>
      </c>
      <c r="G59" s="17">
        <v>1044000</v>
      </c>
      <c r="H59" s="17">
        <f t="shared" si="3"/>
        <v>18000</v>
      </c>
    </row>
    <row r="60" spans="6:8" x14ac:dyDescent="0.25">
      <c r="F60" s="23">
        <v>59</v>
      </c>
      <c r="G60" s="17">
        <v>1062000</v>
      </c>
      <c r="H60" s="17">
        <f t="shared" si="3"/>
        <v>18000</v>
      </c>
    </row>
    <row r="61" spans="6:8" x14ac:dyDescent="0.25">
      <c r="F61" s="23">
        <v>60</v>
      </c>
      <c r="G61" s="17">
        <v>1095000</v>
      </c>
      <c r="H61" s="17">
        <f t="shared" si="3"/>
        <v>18250</v>
      </c>
    </row>
    <row r="62" spans="6:8" x14ac:dyDescent="0.25">
      <c r="F62" s="23">
        <v>61</v>
      </c>
      <c r="G62" s="17">
        <v>1113250</v>
      </c>
      <c r="H62" s="17">
        <f t="shared" si="3"/>
        <v>18250</v>
      </c>
    </row>
    <row r="63" spans="6:8" x14ac:dyDescent="0.25">
      <c r="F63" s="23">
        <v>62</v>
      </c>
      <c r="G63" s="17">
        <v>1131500</v>
      </c>
      <c r="H63" s="17">
        <f t="shared" si="3"/>
        <v>18250</v>
      </c>
    </row>
    <row r="64" spans="6:8" x14ac:dyDescent="0.25">
      <c r="F64" s="23">
        <v>63</v>
      </c>
      <c r="G64" s="17">
        <v>1149750</v>
      </c>
      <c r="H64" s="17">
        <f t="shared" si="3"/>
        <v>18250</v>
      </c>
    </row>
    <row r="65" spans="6:8" x14ac:dyDescent="0.25">
      <c r="F65" s="23">
        <v>64</v>
      </c>
      <c r="G65" s="17">
        <v>1168000</v>
      </c>
      <c r="H65" s="17">
        <f t="shared" si="3"/>
        <v>18250</v>
      </c>
    </row>
    <row r="66" spans="6:8" x14ac:dyDescent="0.25">
      <c r="F66" s="23">
        <v>65</v>
      </c>
      <c r="G66" s="17">
        <v>1186250</v>
      </c>
      <c r="H66" s="17">
        <f t="shared" ref="H66:H97" si="4">G66/F66</f>
        <v>18250</v>
      </c>
    </row>
    <row r="67" spans="6:8" x14ac:dyDescent="0.25">
      <c r="F67" s="23">
        <v>66</v>
      </c>
      <c r="G67" s="17">
        <v>1204500</v>
      </c>
      <c r="H67" s="17">
        <f t="shared" si="4"/>
        <v>18250</v>
      </c>
    </row>
    <row r="68" spans="6:8" x14ac:dyDescent="0.25">
      <c r="F68" s="23">
        <v>67</v>
      </c>
      <c r="G68" s="17">
        <v>1222750</v>
      </c>
      <c r="H68" s="17">
        <f t="shared" si="4"/>
        <v>18250</v>
      </c>
    </row>
    <row r="69" spans="6:8" x14ac:dyDescent="0.25">
      <c r="F69" s="23">
        <v>68</v>
      </c>
      <c r="G69" s="17">
        <v>1241000</v>
      </c>
      <c r="H69" s="17">
        <f t="shared" si="4"/>
        <v>18250</v>
      </c>
    </row>
    <row r="70" spans="6:8" x14ac:dyDescent="0.25">
      <c r="F70" s="23">
        <v>69</v>
      </c>
      <c r="G70" s="17">
        <v>1259250</v>
      </c>
      <c r="H70" s="17">
        <f t="shared" si="4"/>
        <v>18250</v>
      </c>
    </row>
    <row r="71" spans="6:8" x14ac:dyDescent="0.25">
      <c r="F71" s="23">
        <v>70</v>
      </c>
      <c r="G71" s="17">
        <v>1295000</v>
      </c>
      <c r="H71" s="17">
        <f t="shared" si="4"/>
        <v>18500</v>
      </c>
    </row>
    <row r="72" spans="6:8" x14ac:dyDescent="0.25">
      <c r="F72" s="23">
        <v>71</v>
      </c>
      <c r="G72" s="17">
        <v>1313500</v>
      </c>
      <c r="H72" s="17">
        <f t="shared" si="4"/>
        <v>18500</v>
      </c>
    </row>
    <row r="73" spans="6:8" x14ac:dyDescent="0.25">
      <c r="F73" s="23">
        <v>72</v>
      </c>
      <c r="G73" s="17">
        <v>1332000</v>
      </c>
      <c r="H73" s="17">
        <f t="shared" si="4"/>
        <v>18500</v>
      </c>
    </row>
    <row r="74" spans="6:8" x14ac:dyDescent="0.25">
      <c r="F74" s="23">
        <v>73</v>
      </c>
      <c r="G74" s="17">
        <v>1350500</v>
      </c>
      <c r="H74" s="17">
        <f t="shared" si="4"/>
        <v>18500</v>
      </c>
    </row>
    <row r="75" spans="6:8" x14ac:dyDescent="0.25">
      <c r="F75" s="23">
        <v>74</v>
      </c>
      <c r="G75" s="17">
        <v>1369000</v>
      </c>
      <c r="H75" s="17">
        <f t="shared" si="4"/>
        <v>18500</v>
      </c>
    </row>
    <row r="76" spans="6:8" x14ac:dyDescent="0.25">
      <c r="F76" s="23">
        <v>75</v>
      </c>
      <c r="G76" s="17">
        <v>1387500</v>
      </c>
      <c r="H76" s="17">
        <f t="shared" si="4"/>
        <v>18500</v>
      </c>
    </row>
    <row r="77" spans="6:8" x14ac:dyDescent="0.25">
      <c r="F77" s="23">
        <v>76</v>
      </c>
      <c r="G77" s="17">
        <v>1406000</v>
      </c>
      <c r="H77" s="17">
        <f t="shared" si="4"/>
        <v>18500</v>
      </c>
    </row>
    <row r="78" spans="6:8" x14ac:dyDescent="0.25">
      <c r="F78" s="23">
        <v>77</v>
      </c>
      <c r="G78" s="17">
        <v>1424500</v>
      </c>
      <c r="H78" s="17">
        <f t="shared" si="4"/>
        <v>18500</v>
      </c>
    </row>
    <row r="79" spans="6:8" x14ac:dyDescent="0.25">
      <c r="F79" s="23">
        <v>78</v>
      </c>
      <c r="G79" s="17">
        <v>1443000</v>
      </c>
      <c r="H79" s="17">
        <f t="shared" si="4"/>
        <v>18500</v>
      </c>
    </row>
    <row r="80" spans="6:8" x14ac:dyDescent="0.25">
      <c r="F80" s="23">
        <v>79</v>
      </c>
      <c r="G80" s="17">
        <v>1461500</v>
      </c>
      <c r="H80" s="17">
        <f t="shared" si="4"/>
        <v>18500</v>
      </c>
    </row>
    <row r="81" spans="6:8" x14ac:dyDescent="0.25">
      <c r="F81" s="23">
        <v>80</v>
      </c>
      <c r="G81" s="17">
        <v>1500000</v>
      </c>
      <c r="H81" s="17">
        <f t="shared" si="4"/>
        <v>18750</v>
      </c>
    </row>
    <row r="82" spans="6:8" x14ac:dyDescent="0.25">
      <c r="F82" s="23">
        <v>81</v>
      </c>
      <c r="G82" s="17">
        <v>1518750</v>
      </c>
      <c r="H82" s="17">
        <f t="shared" si="4"/>
        <v>18750</v>
      </c>
    </row>
    <row r="83" spans="6:8" x14ac:dyDescent="0.25">
      <c r="F83" s="23">
        <v>82</v>
      </c>
      <c r="G83" s="17">
        <v>1537500</v>
      </c>
      <c r="H83" s="17">
        <f t="shared" si="4"/>
        <v>18750</v>
      </c>
    </row>
    <row r="84" spans="6:8" x14ac:dyDescent="0.25">
      <c r="F84" s="23">
        <v>83</v>
      </c>
      <c r="G84" s="17">
        <v>1556250</v>
      </c>
      <c r="H84" s="17">
        <f t="shared" si="4"/>
        <v>18750</v>
      </c>
    </row>
    <row r="85" spans="6:8" x14ac:dyDescent="0.25">
      <c r="F85" s="23">
        <v>84</v>
      </c>
      <c r="G85" s="17">
        <v>1575000</v>
      </c>
      <c r="H85" s="17">
        <f t="shared" si="4"/>
        <v>18750</v>
      </c>
    </row>
    <row r="86" spans="6:8" x14ac:dyDescent="0.25">
      <c r="F86" s="23">
        <v>85</v>
      </c>
      <c r="G86" s="17">
        <v>1593750</v>
      </c>
      <c r="H86" s="17">
        <f t="shared" si="4"/>
        <v>18750</v>
      </c>
    </row>
    <row r="87" spans="6:8" x14ac:dyDescent="0.25">
      <c r="F87" s="23">
        <v>86</v>
      </c>
      <c r="G87" s="17">
        <v>1612500</v>
      </c>
      <c r="H87" s="17">
        <f t="shared" si="4"/>
        <v>18750</v>
      </c>
    </row>
    <row r="88" spans="6:8" x14ac:dyDescent="0.25">
      <c r="F88" s="23">
        <v>87</v>
      </c>
      <c r="G88" s="17">
        <v>1631250</v>
      </c>
      <c r="H88" s="17">
        <f t="shared" si="4"/>
        <v>18750</v>
      </c>
    </row>
    <row r="89" spans="6:8" x14ac:dyDescent="0.25">
      <c r="F89" s="23">
        <v>88</v>
      </c>
      <c r="G89" s="17">
        <v>1650000</v>
      </c>
      <c r="H89" s="17">
        <f t="shared" si="4"/>
        <v>18750</v>
      </c>
    </row>
    <row r="90" spans="6:8" x14ac:dyDescent="0.25">
      <c r="F90" s="23">
        <v>89</v>
      </c>
      <c r="G90" s="17">
        <v>1668750</v>
      </c>
      <c r="H90" s="17">
        <f t="shared" si="4"/>
        <v>18750</v>
      </c>
    </row>
    <row r="91" spans="6:8" x14ac:dyDescent="0.25">
      <c r="F91" s="23">
        <v>90</v>
      </c>
      <c r="G91" s="17">
        <v>1710000</v>
      </c>
      <c r="H91" s="17">
        <f t="shared" si="4"/>
        <v>19000</v>
      </c>
    </row>
    <row r="92" spans="6:8" x14ac:dyDescent="0.25">
      <c r="F92" s="23">
        <v>91</v>
      </c>
      <c r="G92" s="17">
        <v>1729000</v>
      </c>
      <c r="H92" s="17">
        <f t="shared" si="4"/>
        <v>19000</v>
      </c>
    </row>
    <row r="93" spans="6:8" x14ac:dyDescent="0.25">
      <c r="F93" s="23">
        <v>92</v>
      </c>
      <c r="G93" s="17">
        <v>1748000</v>
      </c>
      <c r="H93" s="17">
        <f t="shared" si="4"/>
        <v>19000</v>
      </c>
    </row>
    <row r="94" spans="6:8" x14ac:dyDescent="0.25">
      <c r="F94" s="23">
        <v>93</v>
      </c>
      <c r="G94" s="17">
        <v>1767000</v>
      </c>
      <c r="H94" s="17">
        <f t="shared" si="4"/>
        <v>19000</v>
      </c>
    </row>
    <row r="95" spans="6:8" x14ac:dyDescent="0.25">
      <c r="F95" s="23">
        <v>94</v>
      </c>
      <c r="G95" s="17">
        <v>1786000</v>
      </c>
      <c r="H95" s="17">
        <f t="shared" si="4"/>
        <v>19000</v>
      </c>
    </row>
    <row r="96" spans="6:8" x14ac:dyDescent="0.25">
      <c r="F96" s="23">
        <v>95</v>
      </c>
      <c r="G96" s="17">
        <v>1805000</v>
      </c>
      <c r="H96" s="17">
        <f t="shared" si="4"/>
        <v>19000</v>
      </c>
    </row>
    <row r="97" spans="6:8" x14ac:dyDescent="0.25">
      <c r="F97" s="23">
        <v>96</v>
      </c>
      <c r="G97" s="17">
        <v>1824000</v>
      </c>
      <c r="H97" s="17">
        <f t="shared" si="4"/>
        <v>19000</v>
      </c>
    </row>
    <row r="98" spans="6:8" x14ac:dyDescent="0.25">
      <c r="F98" s="23">
        <v>97</v>
      </c>
      <c r="G98" s="17">
        <v>1843000</v>
      </c>
      <c r="H98" s="17">
        <f t="shared" ref="H98:H112" si="5">G98/F98</f>
        <v>19000</v>
      </c>
    </row>
    <row r="99" spans="6:8" x14ac:dyDescent="0.25">
      <c r="F99" s="23">
        <v>98</v>
      </c>
      <c r="G99" s="17">
        <v>1862000</v>
      </c>
      <c r="H99" s="17">
        <f t="shared" si="5"/>
        <v>19000</v>
      </c>
    </row>
    <row r="100" spans="6:8" x14ac:dyDescent="0.25">
      <c r="F100" s="23">
        <v>99</v>
      </c>
      <c r="G100" s="17">
        <v>1881000</v>
      </c>
      <c r="H100" s="17">
        <f t="shared" si="5"/>
        <v>19000</v>
      </c>
    </row>
    <row r="101" spans="6:8" x14ac:dyDescent="0.25">
      <c r="F101" s="23">
        <v>100</v>
      </c>
      <c r="G101" s="17">
        <v>1950000</v>
      </c>
      <c r="H101" s="17">
        <f t="shared" si="5"/>
        <v>19500</v>
      </c>
    </row>
    <row r="102" spans="6:8" x14ac:dyDescent="0.25">
      <c r="F102" s="23">
        <v>101</v>
      </c>
      <c r="G102" s="17">
        <v>1969500</v>
      </c>
      <c r="H102" s="17">
        <f t="shared" si="5"/>
        <v>19500</v>
      </c>
    </row>
    <row r="103" spans="6:8" x14ac:dyDescent="0.25">
      <c r="F103" s="23">
        <v>102</v>
      </c>
      <c r="G103" s="17">
        <v>1989000</v>
      </c>
      <c r="H103" s="17">
        <f t="shared" si="5"/>
        <v>19500</v>
      </c>
    </row>
    <row r="104" spans="6:8" x14ac:dyDescent="0.25">
      <c r="F104" s="23">
        <v>103</v>
      </c>
      <c r="G104" s="17">
        <v>2008500</v>
      </c>
      <c r="H104" s="17">
        <f t="shared" si="5"/>
        <v>19500</v>
      </c>
    </row>
    <row r="105" spans="6:8" x14ac:dyDescent="0.25">
      <c r="F105" s="23">
        <v>104</v>
      </c>
      <c r="G105" s="17">
        <v>2028000</v>
      </c>
      <c r="H105" s="17">
        <f t="shared" si="5"/>
        <v>19500</v>
      </c>
    </row>
    <row r="106" spans="6:8" x14ac:dyDescent="0.25">
      <c r="F106" s="23">
        <v>105</v>
      </c>
      <c r="G106" s="17">
        <v>2047500</v>
      </c>
      <c r="H106" s="17">
        <f t="shared" si="5"/>
        <v>19500</v>
      </c>
    </row>
    <row r="107" spans="6:8" x14ac:dyDescent="0.25">
      <c r="F107" s="23">
        <v>106</v>
      </c>
      <c r="G107" s="17">
        <v>2067000</v>
      </c>
      <c r="H107" s="17">
        <f t="shared" si="5"/>
        <v>19500</v>
      </c>
    </row>
    <row r="108" spans="6:8" x14ac:dyDescent="0.25">
      <c r="F108" s="23">
        <v>107</v>
      </c>
      <c r="G108" s="17">
        <v>2086500</v>
      </c>
      <c r="H108" s="17">
        <f t="shared" si="5"/>
        <v>19500</v>
      </c>
    </row>
    <row r="109" spans="6:8" x14ac:dyDescent="0.25">
      <c r="F109" s="23">
        <v>108</v>
      </c>
      <c r="G109" s="17">
        <v>2106000</v>
      </c>
      <c r="H109" s="17">
        <f t="shared" si="5"/>
        <v>19500</v>
      </c>
    </row>
    <row r="110" spans="6:8" x14ac:dyDescent="0.25">
      <c r="F110" s="23">
        <v>109</v>
      </c>
      <c r="G110" s="17">
        <v>2125500</v>
      </c>
      <c r="H110" s="17">
        <f t="shared" si="5"/>
        <v>19500</v>
      </c>
    </row>
    <row r="111" spans="6:8" x14ac:dyDescent="0.25">
      <c r="F111" s="23">
        <v>110</v>
      </c>
      <c r="G111" s="17">
        <v>2145000</v>
      </c>
      <c r="H111" s="17">
        <f t="shared" si="5"/>
        <v>19500</v>
      </c>
    </row>
    <row r="112" spans="6:8" x14ac:dyDescent="0.25">
      <c r="F112" s="24">
        <v>111</v>
      </c>
      <c r="G112" s="21">
        <v>2220000</v>
      </c>
      <c r="H112" s="17">
        <f t="shared" si="5"/>
        <v>20000</v>
      </c>
    </row>
  </sheetData>
  <pageMargins left="0" right="0" top="0" bottom="0" header="0" footer="0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24.42578125" bestFit="1" customWidth="1"/>
    <col min="2" max="2" width="12.140625" bestFit="1" customWidth="1"/>
    <col min="4" max="4" width="11.42578125" customWidth="1"/>
    <col min="9" max="9" width="14.7109375" bestFit="1" customWidth="1"/>
    <col min="10" max="10" width="17.7109375" bestFit="1" customWidth="1"/>
  </cols>
  <sheetData>
    <row r="1" spans="1:10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H1" s="144" t="s">
        <v>470</v>
      </c>
      <c r="I1" s="144"/>
      <c r="J1" s="144"/>
    </row>
    <row r="2" spans="1:10" x14ac:dyDescent="0.25">
      <c r="A2" t="s">
        <v>472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H2" s="128" t="s">
        <v>348</v>
      </c>
      <c r="I2" t="s">
        <v>469</v>
      </c>
      <c r="J2" t="s">
        <v>444</v>
      </c>
    </row>
    <row r="3" spans="1:10" x14ac:dyDescent="0.25">
      <c r="A3" t="s">
        <v>473</v>
      </c>
      <c r="B3" s="114">
        <f>Rendements!G4</f>
        <v>1</v>
      </c>
      <c r="C3" s="114">
        <f>Rendements!G5</f>
        <v>1</v>
      </c>
      <c r="D3" s="114">
        <f>Rendements!G6</f>
        <v>1</v>
      </c>
      <c r="E3" s="114">
        <f>Rendements!G7</f>
        <v>1</v>
      </c>
      <c r="F3" s="114">
        <f>Rendements!G8</f>
        <v>1</v>
      </c>
      <c r="H3" s="117">
        <v>1</v>
      </c>
      <c r="I3" s="1">
        <v>17</v>
      </c>
      <c r="J3" s="1">
        <v>25</v>
      </c>
    </row>
    <row r="4" spans="1:10" x14ac:dyDescent="0.25">
      <c r="A4" t="s">
        <v>474</v>
      </c>
      <c r="B4" s="114">
        <f>IF(Rendements!F4&gt;0,1,0)</f>
        <v>0</v>
      </c>
      <c r="C4" s="114">
        <f>IF(Rendements!F5&gt;0,1,0)</f>
        <v>0</v>
      </c>
      <c r="D4" s="114">
        <f>IF(Rendements!F6&gt;0,1,0)</f>
        <v>0</v>
      </c>
      <c r="E4" s="114">
        <f>IF(Rendements!F7&gt;0,1,0)</f>
        <v>0</v>
      </c>
      <c r="F4" s="114">
        <f>IF(Rendements!F8&gt;0,1,0)</f>
        <v>0</v>
      </c>
      <c r="H4" s="117">
        <v>2</v>
      </c>
      <c r="I4" s="1">
        <v>14</v>
      </c>
      <c r="J4" s="1">
        <v>20</v>
      </c>
    </row>
    <row r="5" spans="1:10" x14ac:dyDescent="0.25">
      <c r="A5" t="s">
        <v>475</v>
      </c>
      <c r="B5" s="114">
        <f>IF(Rendements!K4="Vente sur place",B6/1.5,B6)</f>
        <v>126000</v>
      </c>
      <c r="C5" s="114">
        <f>IF(Rendements!K5="Vente sur place",C6/1.5,C6)</f>
        <v>252000</v>
      </c>
      <c r="D5" s="114">
        <f>IF(Rendements!K6="Vente sur place",D6/1.5,D6)</f>
        <v>294000</v>
      </c>
      <c r="E5" s="114">
        <f>IF(Rendements!K7="Vente sur place",E6/1.5,E6)</f>
        <v>357000</v>
      </c>
      <c r="F5" s="114">
        <f>IF(Rendements!K8="Vente sur place",F6/1.5,F6)</f>
        <v>420000</v>
      </c>
      <c r="H5" s="117">
        <v>3</v>
      </c>
      <c r="I5" s="1">
        <v>10</v>
      </c>
      <c r="J5" s="1">
        <v>14</v>
      </c>
    </row>
    <row r="6" spans="1:10" x14ac:dyDescent="0.25">
      <c r="A6" t="s">
        <v>476</v>
      </c>
      <c r="B6">
        <v>126000</v>
      </c>
      <c r="C6">
        <v>252000</v>
      </c>
      <c r="D6">
        <v>294000</v>
      </c>
      <c r="E6">
        <v>357000</v>
      </c>
      <c r="F6">
        <v>420000</v>
      </c>
      <c r="H6" s="129" t="s">
        <v>420</v>
      </c>
      <c r="I6" s="130">
        <v>6</v>
      </c>
      <c r="J6" s="130">
        <v>8</v>
      </c>
    </row>
    <row r="7" spans="1:10" x14ac:dyDescent="0.25">
      <c r="A7" t="s">
        <v>477</v>
      </c>
      <c r="B7">
        <v>1.2</v>
      </c>
      <c r="C7">
        <v>1.6</v>
      </c>
      <c r="D7">
        <v>2</v>
      </c>
      <c r="E7">
        <v>2.4</v>
      </c>
      <c r="F7">
        <v>2.5</v>
      </c>
    </row>
    <row r="8" spans="1:10" x14ac:dyDescent="0.25">
      <c r="A8" t="s">
        <v>408</v>
      </c>
      <c r="B8">
        <v>3000</v>
      </c>
      <c r="C8">
        <v>4800</v>
      </c>
      <c r="D8">
        <v>6000</v>
      </c>
      <c r="E8">
        <v>7200</v>
      </c>
      <c r="F8">
        <v>9000</v>
      </c>
    </row>
    <row r="9" spans="1:10" x14ac:dyDescent="0.25">
      <c r="A9" t="s">
        <v>478</v>
      </c>
      <c r="B9">
        <v>180</v>
      </c>
      <c r="C9">
        <v>320</v>
      </c>
      <c r="D9">
        <v>320</v>
      </c>
      <c r="E9">
        <v>360</v>
      </c>
      <c r="F9">
        <v>300</v>
      </c>
    </row>
    <row r="10" spans="1:10" x14ac:dyDescent="0.25">
      <c r="A10" t="s">
        <v>479</v>
      </c>
      <c r="B10">
        <f>B9+B11</f>
        <v>205</v>
      </c>
      <c r="C10">
        <f>C9+C11</f>
        <v>345</v>
      </c>
      <c r="D10">
        <f>D9+D11</f>
        <v>345</v>
      </c>
      <c r="E10">
        <f>E9+E11</f>
        <v>385</v>
      </c>
      <c r="F10">
        <f>F9+F11</f>
        <v>325</v>
      </c>
    </row>
    <row r="11" spans="1:10" x14ac:dyDescent="0.25">
      <c r="A11" t="s">
        <v>470</v>
      </c>
      <c r="B11" s="131">
        <f>INDEX($I$3:$J$6,MATCH(Rendements!I4,$H$3:$H$6,0),MATCH(Rendements!K4,$I$2:$J$2,0))</f>
        <v>25</v>
      </c>
      <c r="C11" s="131">
        <f>INDEX($I$3:$J$6,MATCH(Rendements!I5,$H$3:$H$6,0),MATCH(Rendements!K5,$I$2:$J$2,0))</f>
        <v>25</v>
      </c>
      <c r="D11" s="131">
        <f>INDEX($I$3:$J$6,MATCH(Rendements!I6,$H$3:$H$6,0),MATCH(Rendements!K6,$I$2:$J$2,0))</f>
        <v>25</v>
      </c>
      <c r="E11" s="131">
        <f>INDEX($I$3:$J$6,MATCH(Rendements!I7,$H$3:$H$6,0),MATCH(Rendements!K7,$I$2:$J$2,0))</f>
        <v>25</v>
      </c>
      <c r="F11" s="131">
        <f>INDEX($I$3:$J$6,MATCH(Rendements!I8,$H$3:$H$6,0),MATCH(Rendements!K8,$I$2:$J$2,0))</f>
        <v>25</v>
      </c>
    </row>
    <row r="12" spans="1:10" x14ac:dyDescent="0.25">
      <c r="A12" s="117" t="s">
        <v>457</v>
      </c>
      <c r="B12" s="1">
        <v>20</v>
      </c>
      <c r="C12">
        <f>B12</f>
        <v>20</v>
      </c>
      <c r="D12">
        <f t="shared" ref="D12:F12" si="0">C12</f>
        <v>20</v>
      </c>
      <c r="E12">
        <f t="shared" si="0"/>
        <v>20</v>
      </c>
      <c r="F12">
        <f t="shared" si="0"/>
        <v>20</v>
      </c>
    </row>
    <row r="13" spans="1:10" x14ac:dyDescent="0.25">
      <c r="A13" s="117" t="s">
        <v>458</v>
      </c>
      <c r="B13">
        <f>$B$12*B7</f>
        <v>24</v>
      </c>
      <c r="C13">
        <f>$B$12*C7</f>
        <v>32</v>
      </c>
      <c r="D13">
        <f>$B$12*D7</f>
        <v>40</v>
      </c>
      <c r="E13">
        <f>$B$12*E7</f>
        <v>48</v>
      </c>
      <c r="F13">
        <f>$B$12*F7</f>
        <v>50</v>
      </c>
    </row>
    <row r="14" spans="1:10" x14ac:dyDescent="0.25">
      <c r="A14" t="s">
        <v>10</v>
      </c>
      <c r="B14">
        <f>B5*$B$21*$B$22*B2-B7*75000*B3*B2-B8*B2*B9*B4/48</f>
        <v>36000</v>
      </c>
      <c r="C14">
        <f t="shared" ref="C14:F14" si="1">C5*$B$21*$B$22*C2-C7*75000*C3*C2-C8*C2*C9*C4/48</f>
        <v>132000</v>
      </c>
      <c r="D14">
        <f t="shared" si="1"/>
        <v>144000</v>
      </c>
      <c r="E14">
        <f t="shared" si="1"/>
        <v>177000</v>
      </c>
      <c r="F14">
        <f t="shared" si="1"/>
        <v>232500</v>
      </c>
    </row>
    <row r="15" spans="1:10" x14ac:dyDescent="0.25">
      <c r="A15" t="s">
        <v>11</v>
      </c>
      <c r="B15">
        <f>B9/(B7*5)</f>
        <v>30</v>
      </c>
      <c r="C15">
        <f>C9/(C7*5)</f>
        <v>40</v>
      </c>
      <c r="D15">
        <f>D9/(D7*5)</f>
        <v>32</v>
      </c>
      <c r="E15">
        <f>E9/(E7*5)</f>
        <v>30</v>
      </c>
      <c r="F15">
        <f>F9/(F7*5)</f>
        <v>24</v>
      </c>
    </row>
    <row r="16" spans="1:10" x14ac:dyDescent="0.25">
      <c r="A16" t="s">
        <v>12</v>
      </c>
      <c r="B16">
        <f>B9/B7</f>
        <v>150</v>
      </c>
      <c r="C16">
        <f>C9/C7</f>
        <v>200</v>
      </c>
      <c r="D16">
        <f>D9/D7</f>
        <v>160</v>
      </c>
      <c r="E16">
        <f>E9/E7</f>
        <v>150</v>
      </c>
      <c r="F16">
        <f>F9/F7</f>
        <v>120</v>
      </c>
    </row>
    <row r="17" spans="1:6" x14ac:dyDescent="0.25">
      <c r="A17" t="s">
        <v>480</v>
      </c>
      <c r="B17">
        <f>B14/B10*60</f>
        <v>10536.58536585366</v>
      </c>
      <c r="C17">
        <f>C14/C10*60</f>
        <v>22956.521739130436</v>
      </c>
      <c r="D17">
        <f>D14/D10*60</f>
        <v>25043.478260869564</v>
      </c>
      <c r="E17">
        <f>E14/E10*60</f>
        <v>27584.415584415583</v>
      </c>
      <c r="F17">
        <f>F14/F10*60</f>
        <v>42923.076923076922</v>
      </c>
    </row>
    <row r="18" spans="1:6" x14ac:dyDescent="0.25">
      <c r="A18" t="s">
        <v>486</v>
      </c>
      <c r="B18">
        <f>(B14+(MATCH(Rendements!I4,$H$3:$H$6,0)-1)*$B$23)/(B11*MATCH(Rendements!I4,$H$3:$H$6,0)+B13*(1-B3))*60</f>
        <v>86400</v>
      </c>
      <c r="C18">
        <f>(C14+(MATCH(Rendements!I5,$H$3:$H$6,0)-1)*$B$23)/(C11*MATCH(Rendements!I5,$H$3:$H$6,0)+C13*(1-C3))*60</f>
        <v>316800</v>
      </c>
      <c r="D18">
        <f>(D14+(MATCH(Rendements!I6,$H$3:$H$6,0)-1)*$B$23)/(D11*MATCH(Rendements!I6,$H$3:$H$6,0)+D13*(1-D3))*60</f>
        <v>345600</v>
      </c>
      <c r="E18">
        <f>(E14+(MATCH(Rendements!I7,$H$3:$H$6,0)-1)*$B$23)/(E11*MATCH(Rendements!I7,$H$3:$H$6,0)+E13*(1-E3))*60</f>
        <v>424800</v>
      </c>
      <c r="F18">
        <f>(F14+(MATCH(Rendements!I8,$H$3:$H$6,0)-1)*$B$23)/(F11*MATCH(Rendements!I8,$H$3:$H$6,0)+F13*(1-F3))*60</f>
        <v>558000</v>
      </c>
    </row>
    <row r="19" spans="1:6" x14ac:dyDescent="0.25">
      <c r="A19" t="s">
        <v>471</v>
      </c>
      <c r="B19">
        <f>B14/(B11+B13*(1-B3))*60</f>
        <v>86400</v>
      </c>
      <c r="C19">
        <f t="shared" ref="C19:F19" si="2">C14/(C11+C13*(1-C3))*60</f>
        <v>316800</v>
      </c>
      <c r="D19">
        <f t="shared" si="2"/>
        <v>345600</v>
      </c>
      <c r="E19">
        <f t="shared" si="2"/>
        <v>424800</v>
      </c>
      <c r="F19">
        <f t="shared" si="2"/>
        <v>558000</v>
      </c>
    </row>
    <row r="21" spans="1:6" x14ac:dyDescent="0.25">
      <c r="A21" t="s">
        <v>14</v>
      </c>
      <c r="B21" s="114">
        <f>Rendements!D4</f>
        <v>1</v>
      </c>
    </row>
    <row r="22" spans="1:6" x14ac:dyDescent="0.25">
      <c r="A22" t="s">
        <v>15</v>
      </c>
      <c r="B22" s="114">
        <f>Rendements!E4</f>
        <v>1</v>
      </c>
    </row>
    <row r="23" spans="1:6" x14ac:dyDescent="0.25">
      <c r="A23" t="s">
        <v>481</v>
      </c>
      <c r="B23" s="13">
        <v>31000</v>
      </c>
    </row>
    <row r="25" spans="1:6" x14ac:dyDescent="0.25">
      <c r="A25" t="s">
        <v>16</v>
      </c>
      <c r="B25">
        <f>SUM(B14:F14)</f>
        <v>721500</v>
      </c>
    </row>
    <row r="26" spans="1:6" x14ac:dyDescent="0.25">
      <c r="A26" t="s">
        <v>17</v>
      </c>
      <c r="B26">
        <f>B25/MAX(B9*B2,C9*C2,D9*D2,E9*E2,F9*F2)*60</f>
        <v>120250</v>
      </c>
    </row>
  </sheetData>
  <mergeCells count="1">
    <mergeCell ref="H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23" sqref="B23"/>
    </sheetView>
  </sheetViews>
  <sheetFormatPr baseColWidth="10" defaultRowHeight="15" x14ac:dyDescent="0.25"/>
  <cols>
    <col min="1" max="1" width="19.7109375" bestFit="1" customWidth="1"/>
  </cols>
  <sheetData>
    <row r="1" spans="1:5" x14ac:dyDescent="0.25">
      <c r="A1" t="s">
        <v>193</v>
      </c>
      <c r="B1">
        <v>1</v>
      </c>
      <c r="C1">
        <v>2</v>
      </c>
      <c r="D1">
        <v>3</v>
      </c>
      <c r="E1">
        <v>4</v>
      </c>
    </row>
    <row r="2" spans="1:5" x14ac:dyDescent="0.25">
      <c r="A2" t="s">
        <v>188</v>
      </c>
      <c r="B2">
        <v>100000</v>
      </c>
      <c r="C2">
        <v>200000</v>
      </c>
      <c r="D2">
        <v>300000</v>
      </c>
      <c r="E2">
        <v>400000</v>
      </c>
    </row>
    <row r="3" spans="1:5" x14ac:dyDescent="0.25">
      <c r="A3" t="s">
        <v>189</v>
      </c>
      <c r="B3">
        <v>20000</v>
      </c>
      <c r="C3">
        <v>40000</v>
      </c>
      <c r="D3">
        <v>60000</v>
      </c>
      <c r="E3">
        <v>80000</v>
      </c>
    </row>
    <row r="4" spans="1:5" x14ac:dyDescent="0.25">
      <c r="A4" t="s">
        <v>187</v>
      </c>
      <c r="B4">
        <v>20</v>
      </c>
      <c r="C4">
        <v>30</v>
      </c>
      <c r="D4">
        <v>40</v>
      </c>
      <c r="E4">
        <v>50</v>
      </c>
    </row>
    <row r="5" spans="1:5" x14ac:dyDescent="0.25">
      <c r="A5" t="s">
        <v>192</v>
      </c>
      <c r="B5" s="1">
        <v>4</v>
      </c>
      <c r="C5" s="13">
        <f t="shared" ref="C5:E7" si="0">B5</f>
        <v>4</v>
      </c>
      <c r="D5" s="13">
        <f t="shared" si="0"/>
        <v>4</v>
      </c>
      <c r="E5" s="13">
        <f t="shared" si="0"/>
        <v>4</v>
      </c>
    </row>
    <row r="6" spans="1:5" x14ac:dyDescent="0.25">
      <c r="A6" t="s">
        <v>454</v>
      </c>
      <c r="B6" s="1">
        <v>8</v>
      </c>
      <c r="C6" s="13">
        <f>$B$6*C1</f>
        <v>16</v>
      </c>
      <c r="D6" s="13">
        <f t="shared" ref="D6:E6" si="1">$B$6*D1</f>
        <v>24</v>
      </c>
      <c r="E6" s="13">
        <f t="shared" si="1"/>
        <v>32</v>
      </c>
    </row>
    <row r="7" spans="1:5" x14ac:dyDescent="0.25">
      <c r="A7" t="s">
        <v>191</v>
      </c>
      <c r="B7" s="114">
        <f>Rendements!K16</f>
        <v>4000</v>
      </c>
      <c r="C7" s="13">
        <f t="shared" si="0"/>
        <v>4000</v>
      </c>
      <c r="D7" s="13">
        <f t="shared" si="0"/>
        <v>4000</v>
      </c>
      <c r="E7" s="13">
        <f t="shared" si="0"/>
        <v>4000</v>
      </c>
    </row>
    <row r="8" spans="1:5" x14ac:dyDescent="0.25">
      <c r="A8" t="s">
        <v>207</v>
      </c>
      <c r="B8" s="13">
        <f>(B2*$B$13-B3)-B7*B1</f>
        <v>76000</v>
      </c>
      <c r="C8" s="13">
        <f t="shared" ref="C8:D8" si="2">(C2*$B$13-C3)-C7*C1</f>
        <v>152000</v>
      </c>
      <c r="D8" s="13">
        <f t="shared" si="2"/>
        <v>228000</v>
      </c>
      <c r="E8" s="13">
        <f>(E2*$B$13-E3)-E7*E1</f>
        <v>304000</v>
      </c>
    </row>
    <row r="9" spans="1:5" x14ac:dyDescent="0.25">
      <c r="A9" t="s">
        <v>31</v>
      </c>
      <c r="B9" s="3">
        <f>B8/(B4+B5)*60</f>
        <v>190000</v>
      </c>
      <c r="C9" s="3">
        <f t="shared" ref="C9:E9" si="3">C8/(C4+C5)*60</f>
        <v>268235.29411764711</v>
      </c>
      <c r="D9" s="3">
        <f t="shared" si="3"/>
        <v>310909.09090909094</v>
      </c>
      <c r="E9" s="3">
        <f t="shared" si="3"/>
        <v>337777.77777777775</v>
      </c>
    </row>
    <row r="10" spans="1:5" x14ac:dyDescent="0.25">
      <c r="A10" t="s">
        <v>487</v>
      </c>
      <c r="B10" s="3">
        <f>(B8+$B$14*(B1-1))/(B5*B1+B6)*60</f>
        <v>380000</v>
      </c>
      <c r="C10" s="3">
        <f t="shared" ref="C10:D10" si="4">(C8+$B$14*(C1-1))/(C5*C1+C6)*60</f>
        <v>393750</v>
      </c>
      <c r="D10" s="3">
        <f t="shared" si="4"/>
        <v>398333.33333333331</v>
      </c>
      <c r="E10" s="3">
        <f>(E8+$B$14*(E1-1))/(E5*E1+E6)*60</f>
        <v>400625</v>
      </c>
    </row>
    <row r="11" spans="1:5" x14ac:dyDescent="0.25">
      <c r="A11" t="s">
        <v>488</v>
      </c>
      <c r="B11" s="3">
        <f>B8/(B5+B6)*60</f>
        <v>380000</v>
      </c>
      <c r="C11" s="3">
        <f t="shared" ref="C11:E11" si="5">C8/(C5+C6)*60</f>
        <v>456000</v>
      </c>
      <c r="D11" s="3">
        <f t="shared" si="5"/>
        <v>488571.42857142858</v>
      </c>
      <c r="E11" s="3">
        <f t="shared" si="5"/>
        <v>506666.66666666674</v>
      </c>
    </row>
    <row r="13" spans="1:5" x14ac:dyDescent="0.25">
      <c r="A13" t="s">
        <v>190</v>
      </c>
      <c r="B13" s="114">
        <f>Rendements!D16</f>
        <v>1</v>
      </c>
    </row>
    <row r="14" spans="1:5" x14ac:dyDescent="0.25">
      <c r="A14" t="s">
        <v>468</v>
      </c>
      <c r="B14" s="1">
        <v>5500</v>
      </c>
    </row>
  </sheetData>
  <pageMargins left="0" right="0" top="0" bottom="0" header="0" footer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23" sqref="B23"/>
    </sheetView>
  </sheetViews>
  <sheetFormatPr baseColWidth="10" defaultColWidth="11.42578125" defaultRowHeight="15" x14ac:dyDescent="0.25"/>
  <cols>
    <col min="1" max="1" width="23.28515625" bestFit="1" customWidth="1"/>
  </cols>
  <sheetData>
    <row r="1" spans="1:6" x14ac:dyDescent="0.2">
      <c r="B1" s="2" t="s">
        <v>18</v>
      </c>
      <c r="D1" s="144" t="s">
        <v>470</v>
      </c>
      <c r="E1" s="144"/>
      <c r="F1" s="144"/>
    </row>
    <row r="2" spans="1:6" x14ac:dyDescent="0.25">
      <c r="A2" t="s">
        <v>5</v>
      </c>
      <c r="B2" s="114">
        <f>Rendements!G9</f>
        <v>1</v>
      </c>
      <c r="D2" s="128" t="s">
        <v>348</v>
      </c>
      <c r="E2" t="s">
        <v>482</v>
      </c>
      <c r="F2" t="s">
        <v>483</v>
      </c>
    </row>
    <row r="3" spans="1:6" x14ac:dyDescent="0.2">
      <c r="A3" t="s">
        <v>19</v>
      </c>
      <c r="B3" s="114">
        <f>IF(Rendements!F9&gt;0,1,0)</f>
        <v>1</v>
      </c>
      <c r="D3" s="117">
        <v>1</v>
      </c>
      <c r="E3" s="1">
        <v>20</v>
      </c>
      <c r="F3" s="1">
        <v>30</v>
      </c>
    </row>
    <row r="4" spans="1:6" x14ac:dyDescent="0.2">
      <c r="A4" t="s">
        <v>6</v>
      </c>
      <c r="B4">
        <f>IF(Rendements!K9="Vente à Blaine County",700000,1050000)</f>
        <v>1050000</v>
      </c>
      <c r="D4" s="117">
        <v>2</v>
      </c>
      <c r="E4" s="1">
        <v>14</v>
      </c>
      <c r="F4" s="1">
        <v>20</v>
      </c>
    </row>
    <row r="5" spans="1:6" x14ac:dyDescent="0.25">
      <c r="A5" t="s">
        <v>7</v>
      </c>
      <c r="B5">
        <v>5</v>
      </c>
      <c r="D5" s="117">
        <v>3</v>
      </c>
      <c r="E5" s="1">
        <v>12</v>
      </c>
      <c r="F5" s="1">
        <v>17.5</v>
      </c>
    </row>
    <row r="6" spans="1:6" x14ac:dyDescent="0.25">
      <c r="A6" t="s">
        <v>8</v>
      </c>
      <c r="B6">
        <v>9400</v>
      </c>
      <c r="D6" s="132">
        <v>4</v>
      </c>
      <c r="E6" s="130">
        <v>10</v>
      </c>
      <c r="F6" s="130">
        <v>15</v>
      </c>
    </row>
    <row r="7" spans="1:6" x14ac:dyDescent="0.25">
      <c r="A7" t="s">
        <v>9</v>
      </c>
      <c r="B7">
        <v>700</v>
      </c>
      <c r="D7" s="132">
        <v>5</v>
      </c>
      <c r="E7" s="130">
        <v>8.5</v>
      </c>
      <c r="F7" s="130">
        <v>12.5</v>
      </c>
    </row>
    <row r="8" spans="1:6" x14ac:dyDescent="0.25">
      <c r="A8" t="s">
        <v>430</v>
      </c>
      <c r="B8" s="1">
        <f>INDEX($E$3:$F$8,MATCH(Rendements!I9,$D$3:$D$8,0),MATCH(Rendements!K9,$E$2:$F$2,0))</f>
        <v>30</v>
      </c>
      <c r="D8" s="133" t="s">
        <v>422</v>
      </c>
      <c r="E8" s="130">
        <v>7</v>
      </c>
      <c r="F8" s="130">
        <v>10</v>
      </c>
    </row>
    <row r="9" spans="1:6" x14ac:dyDescent="0.25">
      <c r="A9" t="s">
        <v>431</v>
      </c>
      <c r="B9">
        <f>B7+B8</f>
        <v>730</v>
      </c>
    </row>
    <row r="10" spans="1:6" x14ac:dyDescent="0.25">
      <c r="A10" t="s">
        <v>10</v>
      </c>
      <c r="B10" s="3">
        <f>B4*$B$19*$B$20-B5*75000*B2-B6*B7*B3/48</f>
        <v>537916.66666666663</v>
      </c>
    </row>
    <row r="11" spans="1:6" x14ac:dyDescent="0.25">
      <c r="A11" t="s">
        <v>11</v>
      </c>
      <c r="B11">
        <f>B7/(B5*5)</f>
        <v>28</v>
      </c>
    </row>
    <row r="12" spans="1:6" x14ac:dyDescent="0.25">
      <c r="A12" t="s">
        <v>12</v>
      </c>
      <c r="B12">
        <f>B7/B5</f>
        <v>140</v>
      </c>
    </row>
    <row r="13" spans="1:6" x14ac:dyDescent="0.25">
      <c r="A13" t="s">
        <v>456</v>
      </c>
      <c r="B13" s="1">
        <v>15</v>
      </c>
    </row>
    <row r="14" spans="1:6" x14ac:dyDescent="0.25">
      <c r="A14" s="117" t="s">
        <v>458</v>
      </c>
      <c r="B14">
        <f>B13*B5</f>
        <v>75</v>
      </c>
    </row>
    <row r="15" spans="1:6" x14ac:dyDescent="0.25">
      <c r="A15" t="s">
        <v>31</v>
      </c>
      <c r="B15" s="3">
        <f>B10/B9*60</f>
        <v>44212.328767123283</v>
      </c>
    </row>
    <row r="16" spans="1:6" x14ac:dyDescent="0.25">
      <c r="A16" t="s">
        <v>486</v>
      </c>
      <c r="B16" s="3">
        <f>(B10+(MATCH(Rendements!I9,$D$3:$D$8,0)-1)*$B$21)/(B8*MATCH(Rendements!I9,$D$3:$D$8,0)+B14*(1-B2))*60</f>
        <v>1075833.3333333333</v>
      </c>
    </row>
    <row r="17" spans="1:2" x14ac:dyDescent="0.25">
      <c r="A17" t="s">
        <v>471</v>
      </c>
      <c r="B17" s="3">
        <f>B10/(B8+B14*(1-B2))*60</f>
        <v>1075833.3333333333</v>
      </c>
    </row>
    <row r="19" spans="1:2" x14ac:dyDescent="0.25">
      <c r="A19" t="s">
        <v>14</v>
      </c>
      <c r="B19" s="114">
        <f>Rendements!D9</f>
        <v>1</v>
      </c>
    </row>
    <row r="20" spans="1:2" x14ac:dyDescent="0.25">
      <c r="A20" t="s">
        <v>15</v>
      </c>
      <c r="B20" s="114">
        <f>Rendements!E9</f>
        <v>1</v>
      </c>
    </row>
    <row r="21" spans="1:2" x14ac:dyDescent="0.25">
      <c r="A21" t="s">
        <v>481</v>
      </c>
      <c r="B21">
        <v>31000</v>
      </c>
    </row>
  </sheetData>
  <mergeCells count="1">
    <mergeCell ref="D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3" sqref="B23"/>
    </sheetView>
  </sheetViews>
  <sheetFormatPr baseColWidth="10" defaultRowHeight="15" x14ac:dyDescent="0.25"/>
  <cols>
    <col min="1" max="1" width="25.85546875" bestFit="1" customWidth="1"/>
    <col min="2" max="2" width="12" customWidth="1"/>
    <col min="3" max="7" width="12.140625" customWidth="1"/>
    <col min="9" max="9" width="14.140625" bestFit="1" customWidth="1"/>
    <col min="10" max="10" width="12.7109375" customWidth="1"/>
    <col min="11" max="12" width="12.5703125" customWidth="1"/>
    <col min="16" max="16" width="9.85546875" customWidth="1"/>
  </cols>
  <sheetData>
    <row r="1" spans="1:18" ht="45" x14ac:dyDescent="0.25">
      <c r="A1" t="s">
        <v>224</v>
      </c>
      <c r="B1" s="26" t="s">
        <v>221</v>
      </c>
      <c r="C1" s="26" t="s">
        <v>222</v>
      </c>
      <c r="D1" s="26" t="s">
        <v>223</v>
      </c>
      <c r="E1" s="26" t="s">
        <v>221</v>
      </c>
      <c r="F1" s="26" t="s">
        <v>222</v>
      </c>
      <c r="G1" s="26" t="s">
        <v>223</v>
      </c>
      <c r="I1" t="s">
        <v>224</v>
      </c>
      <c r="J1" s="26" t="s">
        <v>221</v>
      </c>
      <c r="K1" s="26" t="s">
        <v>222</v>
      </c>
      <c r="L1" s="26" t="s">
        <v>223</v>
      </c>
      <c r="O1" t="s">
        <v>348</v>
      </c>
      <c r="P1" t="s">
        <v>430</v>
      </c>
    </row>
    <row r="2" spans="1:18" x14ac:dyDescent="0.25">
      <c r="B2" s="146" t="s">
        <v>428</v>
      </c>
      <c r="C2" s="146"/>
      <c r="D2" s="146"/>
      <c r="E2" s="146" t="s">
        <v>429</v>
      </c>
      <c r="F2" s="146"/>
      <c r="G2" s="146"/>
      <c r="I2">
        <v>0</v>
      </c>
      <c r="J2" s="10">
        <v>0</v>
      </c>
      <c r="K2" s="10">
        <v>0</v>
      </c>
      <c r="L2" s="10">
        <v>0</v>
      </c>
      <c r="O2">
        <v>1</v>
      </c>
      <c r="P2" s="1">
        <v>25</v>
      </c>
    </row>
    <row r="3" spans="1:18" x14ac:dyDescent="0.25">
      <c r="A3" t="s">
        <v>31</v>
      </c>
      <c r="B3" s="3">
        <f>B6/B7*60-$B$13*60/48</f>
        <v>52606.97852760736</v>
      </c>
      <c r="C3" s="3">
        <f t="shared" ref="C3:G3" si="0">C6/C7*60-$B$13*60/48</f>
        <v>56287.960122699391</v>
      </c>
      <c r="D3" s="3">
        <f t="shared" si="0"/>
        <v>59968.941717791415</v>
      </c>
      <c r="E3" s="3">
        <f t="shared" si="0"/>
        <v>58068.597560975606</v>
      </c>
      <c r="F3" s="3">
        <f t="shared" si="0"/>
        <v>57580.792682926825</v>
      </c>
      <c r="G3" s="3">
        <f t="shared" si="0"/>
        <v>62946.646341463413</v>
      </c>
      <c r="I3">
        <v>5</v>
      </c>
      <c r="J3" s="10">
        <v>0.05</v>
      </c>
      <c r="K3" s="10">
        <v>0</v>
      </c>
      <c r="L3" s="10">
        <v>0</v>
      </c>
      <c r="O3">
        <v>2</v>
      </c>
      <c r="P3" s="1">
        <v>20</v>
      </c>
    </row>
    <row r="4" spans="1:18" x14ac:dyDescent="0.25">
      <c r="A4" t="s">
        <v>225</v>
      </c>
      <c r="B4">
        <v>10000</v>
      </c>
      <c r="C4">
        <v>10000</v>
      </c>
      <c r="D4">
        <v>10000</v>
      </c>
      <c r="E4">
        <v>10000</v>
      </c>
      <c r="F4">
        <v>10000</v>
      </c>
      <c r="G4">
        <v>10000</v>
      </c>
      <c r="I4">
        <v>10</v>
      </c>
      <c r="J4" s="10">
        <v>0.1</v>
      </c>
      <c r="K4" s="10">
        <v>0.12</v>
      </c>
      <c r="L4" s="10">
        <v>0</v>
      </c>
      <c r="O4">
        <v>3</v>
      </c>
      <c r="P4" s="1">
        <v>15</v>
      </c>
    </row>
    <row r="5" spans="1:18" x14ac:dyDescent="0.25">
      <c r="A5" t="s">
        <v>194</v>
      </c>
      <c r="B5" s="1">
        <v>50</v>
      </c>
      <c r="C5" s="1">
        <v>50</v>
      </c>
      <c r="D5" s="1">
        <v>50</v>
      </c>
      <c r="E5" s="1">
        <f>B5</f>
        <v>50</v>
      </c>
      <c r="F5" s="1">
        <f t="shared" ref="F5:G5" si="1">C5</f>
        <v>50</v>
      </c>
      <c r="G5" s="1">
        <f t="shared" si="1"/>
        <v>50</v>
      </c>
      <c r="I5">
        <v>15</v>
      </c>
      <c r="J5" s="10">
        <v>0.15</v>
      </c>
      <c r="K5" s="10">
        <v>0.12</v>
      </c>
      <c r="L5" s="10">
        <v>0</v>
      </c>
      <c r="O5" s="106" t="s">
        <v>420</v>
      </c>
      <c r="P5" s="1">
        <v>10</v>
      </c>
    </row>
    <row r="6" spans="1:18" x14ac:dyDescent="0.25">
      <c r="A6" t="s">
        <v>198</v>
      </c>
      <c r="B6">
        <f>((1-B10)*B5*B4+B5*B4*VLOOKUP(MROUND(B5-2,5),$I$2:$L$12,2,FALSE))*$B$11*$B$12</f>
        <v>737500</v>
      </c>
      <c r="C6">
        <f>((1-B10)*C5*C4+C5*C4*VLOOKUP(MROUND(C5-2,5),$I$2:$L$12,3,FALSE))*$B$11*$B$12</f>
        <v>787500</v>
      </c>
      <c r="D6">
        <f>((1-B10)*D5*D4+D5*D4*VLOOKUP(MROUND(D5-2,5),$I$2:$L$12,4,FALSE))*$B$11*$B$12</f>
        <v>837500</v>
      </c>
      <c r="E6">
        <f>((1-B10)*B5*B4+B5*B4*VLOOKUP(MROUND(B5/2-2,5),$I$2:$L$12,2,FALSE))*$B$11*$B$12</f>
        <v>612500</v>
      </c>
      <c r="F6">
        <f>((1-B10)*C5*C4+C5*C4*VLOOKUP(MROUND(C5/2-2,5),$I$2:$L$12,3,FALSE))*$B$11*$B$12</f>
        <v>607500</v>
      </c>
      <c r="G6">
        <f>((1-B10)*D5*D4+D5*D4*VLOOKUP(MROUND(D5/2-2,5),$I$2:$L$12,4,FALSE))*$B$11*$B$12</f>
        <v>662500</v>
      </c>
      <c r="I6">
        <v>20</v>
      </c>
      <c r="J6" s="10">
        <v>0.2</v>
      </c>
      <c r="K6" s="10">
        <v>0.24</v>
      </c>
      <c r="L6" s="10">
        <v>0</v>
      </c>
    </row>
    <row r="7" spans="1:18" x14ac:dyDescent="0.25">
      <c r="A7" t="s">
        <v>30</v>
      </c>
      <c r="B7">
        <f>B5*MIN($J$17:$M$17)+HLOOKUP(Rendements!I17,Hangar!B15:E16,2,FALSE)</f>
        <v>815</v>
      </c>
      <c r="C7">
        <f>C5*MIN($J$17:$M$17)+HLOOKUP(Rendements!I17,Hangar!B15:E16,2,FALSE)</f>
        <v>815</v>
      </c>
      <c r="D7">
        <f>D5*MIN($J$17:$M$17)+HLOOKUP(Rendements!I17,Hangar!B15:E16,2,FALSE)</f>
        <v>815</v>
      </c>
      <c r="E7">
        <f>B5*MIN(J14*J15,K14*K15,L14*L15,M14*M15)+HLOOKUP(Rendements!I17,Hangar!B15:E16,2,FALSE)</f>
        <v>615</v>
      </c>
      <c r="F7">
        <f>C5*MIN(J14*J15,K14*K15,L14*L15,M14*M15)+HLOOKUP(Rendements!I17,Hangar!B15:E16,2,FALSE)</f>
        <v>615</v>
      </c>
      <c r="G7">
        <f>D5*MIN(J14*J15,K14*K15,L14*L15,M14*M15)+HLOOKUP(Rendements!I17,Hangar!B15:E16,2,FALSE)</f>
        <v>615</v>
      </c>
      <c r="I7">
        <v>25</v>
      </c>
      <c r="J7" s="10">
        <v>0.25</v>
      </c>
      <c r="K7" s="10">
        <v>0.24</v>
      </c>
      <c r="L7" s="10">
        <v>0.35</v>
      </c>
    </row>
    <row r="8" spans="1:18" x14ac:dyDescent="0.25">
      <c r="A8" t="s">
        <v>490</v>
      </c>
      <c r="B8">
        <f>B5*MIN($J$17:$M$17)+MATCH(Rendements!$I17,$O2:$O5,0)*VLOOKUP(Rendements!$I17,$O2:$P5,2,FALSE)</f>
        <v>845</v>
      </c>
      <c r="C8">
        <f>C5*MIN($J$17:$M$17)+MATCH(Rendements!$I17,$O2:$O5,0)*VLOOKUP(Rendements!$I17,$O2:$P5,2,FALSE)</f>
        <v>845</v>
      </c>
      <c r="D8">
        <f>D5*MIN($J$17:$M$17)+MATCH(Rendements!$I17,$O2:$O5,0)*VLOOKUP(Rendements!$I17,$O2:$P5,2,FALSE)</f>
        <v>845</v>
      </c>
      <c r="E8">
        <f>E5*MIN(J14*J15,K14*K15,L14*L15,M14*M15)+MATCH(Rendements!$I17,$O2:$O5,0)*VLOOKUP(Rendements!$I17,$O2:$P5,2,FALSE)</f>
        <v>645</v>
      </c>
      <c r="F8">
        <f>F5*MIN(J14*J15,K14*K15,L14*L15,M14*M15)+MATCH(Rendements!$I17,$O2:$O5,0)*VLOOKUP(Rendements!$I17,$O2:$P5,2,FALSE)</f>
        <v>645</v>
      </c>
      <c r="G8">
        <f>G5*MIN(J14*J15,K14*K15,L14*L15,M14*M15)+MATCH(Rendements!$I17,$O2:$O5,0)*VLOOKUP(Rendements!$I17,$O2:$P5,2,FALSE)</f>
        <v>645</v>
      </c>
      <c r="I8">
        <v>30</v>
      </c>
      <c r="J8" s="10">
        <v>0.3</v>
      </c>
      <c r="K8" s="10">
        <v>0.36</v>
      </c>
      <c r="L8" s="10">
        <v>0.35</v>
      </c>
    </row>
    <row r="9" spans="1:18" x14ac:dyDescent="0.25">
      <c r="I9">
        <v>35</v>
      </c>
      <c r="J9" s="10">
        <v>0.35</v>
      </c>
      <c r="K9" s="10">
        <v>0.36</v>
      </c>
      <c r="L9" s="10">
        <v>0.35</v>
      </c>
    </row>
    <row r="10" spans="1:18" x14ac:dyDescent="0.25">
      <c r="A10" t="s">
        <v>230</v>
      </c>
      <c r="B10" s="29">
        <v>2.5000000000000001E-2</v>
      </c>
      <c r="E10" s="3"/>
      <c r="F10" s="3"/>
      <c r="G10" s="3"/>
      <c r="I10">
        <v>40</v>
      </c>
      <c r="J10" s="10">
        <v>0.4</v>
      </c>
      <c r="K10" s="10">
        <v>0.48</v>
      </c>
      <c r="L10" s="10">
        <v>0.35</v>
      </c>
    </row>
    <row r="11" spans="1:18" x14ac:dyDescent="0.25">
      <c r="A11" t="s">
        <v>67</v>
      </c>
      <c r="B11" s="114">
        <f>Rendements!D17</f>
        <v>1</v>
      </c>
      <c r="E11" s="3"/>
      <c r="F11" s="3"/>
      <c r="G11" s="3"/>
      <c r="I11">
        <v>45</v>
      </c>
      <c r="J11" s="10">
        <v>0.45</v>
      </c>
      <c r="K11" s="10">
        <v>0.48</v>
      </c>
      <c r="L11" s="10">
        <v>0.35</v>
      </c>
    </row>
    <row r="12" spans="1:18" x14ac:dyDescent="0.25">
      <c r="A12" t="s">
        <v>15</v>
      </c>
      <c r="B12" s="114">
        <f>Rendements!E17</f>
        <v>1</v>
      </c>
      <c r="I12">
        <v>50</v>
      </c>
      <c r="J12" s="10">
        <v>0.5</v>
      </c>
      <c r="K12" s="10">
        <v>0.6</v>
      </c>
      <c r="L12" s="10">
        <v>0.7</v>
      </c>
      <c r="M12" s="10"/>
      <c r="N12" s="10"/>
      <c r="O12" s="10"/>
      <c r="P12" s="10"/>
      <c r="Q12" s="10"/>
      <c r="R12" s="10"/>
    </row>
    <row r="13" spans="1:18" x14ac:dyDescent="0.25">
      <c r="A13" t="s">
        <v>8</v>
      </c>
      <c r="B13">
        <v>1350</v>
      </c>
      <c r="M13" s="10"/>
      <c r="N13" s="10"/>
      <c r="O13" s="10"/>
      <c r="P13" s="10"/>
      <c r="Q13" s="10"/>
      <c r="R13" s="10"/>
    </row>
    <row r="14" spans="1:18" x14ac:dyDescent="0.25">
      <c r="B14" s="13"/>
      <c r="I14" s="27" t="s">
        <v>226</v>
      </c>
      <c r="J14" s="27">
        <v>1</v>
      </c>
      <c r="K14" s="27">
        <v>2</v>
      </c>
      <c r="L14" s="27">
        <v>3</v>
      </c>
      <c r="M14" s="27">
        <v>4</v>
      </c>
      <c r="N14" s="27"/>
      <c r="O14" s="10"/>
      <c r="P14" s="10"/>
      <c r="Q14" s="10"/>
      <c r="R14" s="10"/>
    </row>
    <row r="15" spans="1:18" x14ac:dyDescent="0.25">
      <c r="A15" t="s">
        <v>348</v>
      </c>
      <c r="B15">
        <v>1</v>
      </c>
      <c r="C15">
        <v>2</v>
      </c>
      <c r="D15">
        <v>3</v>
      </c>
      <c r="E15" s="106" t="s">
        <v>420</v>
      </c>
      <c r="I15" s="27" t="s">
        <v>227</v>
      </c>
      <c r="J15" s="28">
        <v>12</v>
      </c>
      <c r="K15" s="28">
        <v>8</v>
      </c>
      <c r="L15" s="28">
        <v>7</v>
      </c>
      <c r="M15" s="28">
        <v>6</v>
      </c>
      <c r="N15" s="27"/>
      <c r="O15" s="10"/>
      <c r="P15" s="10"/>
      <c r="Q15" s="10"/>
      <c r="R15" s="10"/>
    </row>
    <row r="16" spans="1:18" x14ac:dyDescent="0.25">
      <c r="A16" t="s">
        <v>430</v>
      </c>
      <c r="B16" s="1">
        <v>25</v>
      </c>
      <c r="C16" s="1">
        <v>20</v>
      </c>
      <c r="D16" s="1">
        <v>15</v>
      </c>
      <c r="E16" s="1">
        <v>10</v>
      </c>
      <c r="I16" s="27" t="s">
        <v>228</v>
      </c>
      <c r="J16" s="27">
        <v>4</v>
      </c>
      <c r="K16" s="27">
        <v>5</v>
      </c>
      <c r="L16" s="27">
        <v>6</v>
      </c>
      <c r="M16" s="27">
        <v>7</v>
      </c>
      <c r="N16" s="27"/>
      <c r="O16" s="10"/>
      <c r="P16" s="10"/>
      <c r="Q16" s="10"/>
      <c r="R16" s="10"/>
    </row>
    <row r="17" spans="1:18" x14ac:dyDescent="0.25">
      <c r="I17" s="27" t="s">
        <v>30</v>
      </c>
      <c r="J17" s="27">
        <f>IF(J16&gt;J15*(J14-1),J15+J16,J14*J15)</f>
        <v>16</v>
      </c>
      <c r="K17" s="27">
        <f t="shared" ref="K17:M17" si="2">IF(K16&gt;K15*(K14-1),K15+K16,K14*K15)</f>
        <v>16</v>
      </c>
      <c r="L17" s="27">
        <f t="shared" si="2"/>
        <v>21</v>
      </c>
      <c r="M17" s="27">
        <f t="shared" si="2"/>
        <v>24</v>
      </c>
      <c r="N17" s="27"/>
      <c r="O17" s="10"/>
      <c r="P17" s="10"/>
      <c r="Q17" s="10"/>
      <c r="R17" s="10"/>
    </row>
    <row r="18" spans="1:18" x14ac:dyDescent="0.25">
      <c r="A18" t="s">
        <v>461</v>
      </c>
      <c r="I18" s="27"/>
      <c r="J18" s="27"/>
      <c r="K18" s="27"/>
      <c r="L18" s="27"/>
      <c r="M18" s="27"/>
      <c r="N18" s="27"/>
      <c r="O18" s="10"/>
      <c r="P18" s="10"/>
      <c r="Q18" s="10"/>
      <c r="R18" s="10"/>
    </row>
    <row r="19" spans="1:18" x14ac:dyDescent="0.25">
      <c r="I19" s="27"/>
      <c r="J19" s="27"/>
      <c r="K19" s="27"/>
      <c r="L19" s="27"/>
      <c r="M19" s="27"/>
      <c r="N19" s="27"/>
      <c r="O19" s="10"/>
      <c r="P19" s="10"/>
      <c r="Q19" s="10"/>
      <c r="R19" s="10"/>
    </row>
    <row r="20" spans="1:18" x14ac:dyDescent="0.25">
      <c r="I20" s="27"/>
      <c r="J20" s="27"/>
      <c r="K20" s="27"/>
      <c r="L20" s="27"/>
      <c r="M20" s="27"/>
      <c r="N20" s="27"/>
      <c r="O20" s="10"/>
      <c r="P20" s="10"/>
      <c r="Q20" s="10"/>
      <c r="R20" s="10"/>
    </row>
    <row r="21" spans="1:18" x14ac:dyDescent="0.25">
      <c r="I21" s="27"/>
      <c r="J21" s="27"/>
      <c r="K21" s="27"/>
      <c r="L21" s="27"/>
      <c r="M21" s="27"/>
      <c r="N21" s="27"/>
      <c r="O21" s="10"/>
      <c r="P21" s="10"/>
      <c r="Q21" s="10"/>
      <c r="R21" s="10"/>
    </row>
    <row r="22" spans="1:18" x14ac:dyDescent="0.25">
      <c r="I22" s="27"/>
      <c r="J22" s="27"/>
      <c r="K22" s="27"/>
      <c r="L22" s="27"/>
      <c r="M22" s="27"/>
      <c r="N22" s="27"/>
      <c r="O22" s="10"/>
      <c r="P22" s="10"/>
      <c r="Q22" s="10"/>
      <c r="R22" s="10"/>
    </row>
    <row r="23" spans="1:18" x14ac:dyDescent="0.25">
      <c r="I23" s="27"/>
      <c r="J23" s="27"/>
      <c r="K23" s="27"/>
      <c r="L23" s="27"/>
      <c r="M23" s="27"/>
      <c r="N23" s="27"/>
    </row>
    <row r="24" spans="1:18" x14ac:dyDescent="0.25">
      <c r="I24" s="27"/>
      <c r="J24" s="27"/>
      <c r="K24" s="27"/>
      <c r="L24" s="27"/>
      <c r="M24" s="27"/>
      <c r="N24" s="27"/>
    </row>
    <row r="25" spans="1:18" x14ac:dyDescent="0.25">
      <c r="I25" s="27"/>
      <c r="J25" s="27"/>
      <c r="K25" s="27"/>
      <c r="L25" s="27"/>
      <c r="M25" s="27"/>
      <c r="N25" s="27"/>
    </row>
    <row r="26" spans="1:18" x14ac:dyDescent="0.25">
      <c r="I26" s="27"/>
      <c r="J26" s="27"/>
      <c r="K26" s="27"/>
      <c r="L26" s="27"/>
      <c r="M26" s="27"/>
      <c r="N26" s="27"/>
    </row>
    <row r="27" spans="1:18" x14ac:dyDescent="0.25">
      <c r="I27" s="27"/>
      <c r="J27" s="27"/>
      <c r="K27" s="27"/>
      <c r="L27" s="27"/>
      <c r="M27" s="27"/>
      <c r="N27" s="27"/>
    </row>
    <row r="28" spans="1:18" x14ac:dyDescent="0.25">
      <c r="I28" s="27"/>
      <c r="J28" s="27"/>
      <c r="K28" s="27"/>
      <c r="L28" s="27"/>
      <c r="M28" s="27"/>
      <c r="N28" s="27"/>
    </row>
  </sheetData>
  <mergeCells count="2">
    <mergeCell ref="B2:D2"/>
    <mergeCell ref="E2:G2"/>
  </mergeCells>
  <pageMargins left="0" right="0" top="0" bottom="0" header="0" footer="0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 origin="userSelected">
  <element uid="1239ecc3-00e0-482b-a8a4-82e46943bfcc" value=""/>
</sisl>
</file>

<file path=customXml/itemProps1.xml><?xml version="1.0" encoding="utf-8"?>
<ds:datastoreItem xmlns:ds="http://schemas.openxmlformats.org/officeDocument/2006/customXml" ds:itemID="{6FEF5A17-D837-435A-9781-93C69B1AE02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Rendements</vt:lpstr>
      <vt:lpstr>Missions de contact</vt:lpstr>
      <vt:lpstr>Heist</vt:lpstr>
      <vt:lpstr>Missions VIP</vt:lpstr>
      <vt:lpstr>PDG</vt:lpstr>
      <vt:lpstr>Bikers</vt:lpstr>
      <vt:lpstr>Import</vt:lpstr>
      <vt:lpstr>Bunker</vt:lpstr>
      <vt:lpstr>Hangar</vt:lpstr>
      <vt:lpstr>Doomsday</vt:lpstr>
      <vt:lpstr>Nightclub</vt:lpstr>
      <vt:lpstr>Costs</vt:lpstr>
      <vt:lpstr>Traduction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MARTZOLFF JEREMY</dc:creator>
  <cp:lastModifiedBy>MARTZOLFF JEREMY</cp:lastModifiedBy>
  <cp:revision/>
  <dcterms:created xsi:type="dcterms:W3CDTF">2018-06-26T13:47:46Z</dcterms:created>
  <dcterms:modified xsi:type="dcterms:W3CDTF">2018-10-03T07:01:44Z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12e5f2b9-4d81-4f5b-b6b4-d065c4e806ee</vt:lpwstr>
  </property>
  <property fmtid="{D5CDD505-2E9C-101B-9397-08002B2CF9AE}" pid="3" name="bjSaver">
    <vt:lpwstr>RNPJ5/vMQcZY3bg8gWY7HRGveZaUwWWo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policy="18fbfd49-c8e6-4618-a77f-5ef25245836c" origin="userSelected" xmlns="http://www.boldonj</vt:lpwstr>
  </property>
  <property fmtid="{D5CDD505-2E9C-101B-9397-08002B2CF9AE}" pid="5" name="bjDocumentLabelXML-0">
    <vt:lpwstr>ames.com/2008/01/sie/internal/label"&gt;&lt;element uid="1239ecc3-00e0-482b-a8a4-82e46943bfcc" value="" /&gt;&lt;/sisl&gt;</vt:lpwstr>
  </property>
  <property fmtid="{D5CDD505-2E9C-101B-9397-08002B2CF9AE}" pid="6" name="bjDocumentSecurityLabel">
    <vt:lpwstr>CNH Industrial: PUBLIC [No prejudice to Company from disclosure.]</vt:lpwstr>
  </property>
  <property fmtid="{D5CDD505-2E9C-101B-9397-08002B2CF9AE}" pid="7" name="CNH-Classification">
    <vt:lpwstr>[PUBLIC]</vt:lpwstr>
  </property>
  <property fmtid="{D5CDD505-2E9C-101B-9397-08002B2CF9AE}" pid="8" name="CNH-LabelledBy:">
    <vt:lpwstr>F64482A,03/10/2018 09:01:44,PUBLIC</vt:lpwstr>
  </property>
</Properties>
</file>